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975" windowWidth="9705" windowHeight="4845" activeTab="1"/>
  </bookViews>
  <sheets>
    <sheet name="基本構想(1)" sheetId="19" r:id="rId1"/>
    <sheet name="Vﾌﾟｰﾘ(2)" sheetId="16" r:id="rId2"/>
    <sheet name="軸(３)" sheetId="7" r:id="rId3"/>
    <sheet name="歯車（４）" sheetId="15" r:id="rId4"/>
    <sheet name="軸の設計" sheetId="23" r:id="rId5"/>
    <sheet name="軸受選定" sheetId="20" r:id="rId6"/>
    <sheet name="軸受荷重" sheetId="24" r:id="rId7"/>
    <sheet name="キー" sheetId="22" r:id="rId8"/>
  </sheets>
  <definedNames>
    <definedName name="_xlnm.Print_Area" localSheetId="2">'軸(３)'!$N$1:$AA$35</definedName>
  </definedNames>
  <calcPr calcId="125725"/>
</workbook>
</file>

<file path=xl/calcChain.xml><?xml version="1.0" encoding="utf-8"?>
<calcChain xmlns="http://schemas.openxmlformats.org/spreadsheetml/2006/main">
  <c r="J29" i="23"/>
  <c r="J28"/>
  <c r="F21" i="24"/>
  <c r="F20"/>
  <c r="C20"/>
  <c r="C21"/>
  <c r="J11"/>
  <c r="C9"/>
  <c r="O2"/>
  <c r="C6"/>
  <c r="E14"/>
  <c r="E5"/>
  <c r="O4"/>
  <c r="C30" i="16"/>
  <c r="K30"/>
  <c r="B26" i="22"/>
  <c r="B21"/>
  <c r="B16"/>
  <c r="E7"/>
  <c r="E10" s="1"/>
  <c r="B5" s="1"/>
  <c r="I7" i="20"/>
  <c r="I3"/>
  <c r="I12"/>
  <c r="H27"/>
  <c r="C19"/>
  <c r="I20"/>
  <c r="I22"/>
  <c r="J30" i="15"/>
  <c r="J9" i="7"/>
  <c r="V30"/>
  <c r="V31"/>
  <c r="V27"/>
  <c r="O30"/>
  <c r="S33"/>
  <c r="V24"/>
  <c r="S24"/>
  <c r="V15"/>
  <c r="V16"/>
  <c r="V12"/>
  <c r="O15"/>
  <c r="S18"/>
  <c r="F7" i="19"/>
  <c r="C16"/>
  <c r="H14" i="16"/>
  <c r="C29"/>
  <c r="C60"/>
  <c r="H29"/>
  <c r="F60"/>
  <c r="H30"/>
  <c r="K58"/>
  <c r="N58"/>
  <c r="C57"/>
  <c r="M41"/>
  <c r="C42"/>
  <c r="K56"/>
  <c r="F59"/>
  <c r="C59"/>
  <c r="C5" i="15"/>
  <c r="C36"/>
  <c r="C86"/>
  <c r="F86"/>
  <c r="F82"/>
  <c r="C82"/>
  <c r="C84"/>
  <c r="K19"/>
  <c r="J23" s="1"/>
  <c r="K54" s="1"/>
  <c r="J3"/>
  <c r="I12" s="1"/>
  <c r="I13" s="1"/>
  <c r="J64"/>
  <c r="J57"/>
  <c r="C35"/>
  <c r="K53"/>
  <c r="J29"/>
  <c r="J22"/>
  <c r="L7"/>
  <c r="L8"/>
  <c r="J7"/>
  <c r="J8"/>
  <c r="K18"/>
  <c r="M36" i="16"/>
  <c r="M33"/>
  <c r="D33"/>
  <c r="F17"/>
  <c r="G46"/>
  <c r="F49"/>
  <c r="D52"/>
  <c r="V9" i="7"/>
  <c r="S9"/>
  <c r="C7" i="24"/>
  <c r="C11"/>
  <c r="K12" i="15" l="1"/>
  <c r="K13" s="1"/>
  <c r="E12"/>
  <c r="E13" s="1"/>
  <c r="F12"/>
  <c r="F13" s="1"/>
  <c r="H12"/>
  <c r="H13" s="1"/>
  <c r="G12"/>
  <c r="G13" s="1"/>
  <c r="M30"/>
  <c r="M31" s="1"/>
  <c r="M66" s="1"/>
  <c r="J13"/>
  <c r="K20"/>
  <c r="F18" s="1"/>
  <c r="F20" s="1"/>
  <c r="F23" s="1"/>
  <c r="D12"/>
  <c r="D13" s="1"/>
  <c r="J58"/>
  <c r="J35" l="1"/>
  <c r="K55"/>
  <c r="F53" s="1"/>
  <c r="F55" s="1"/>
  <c r="C29"/>
  <c r="E31" s="1"/>
  <c r="M65"/>
  <c r="F58"/>
  <c r="J65"/>
  <c r="C64" s="1"/>
  <c r="E66" s="1"/>
</calcChain>
</file>

<file path=xl/sharedStrings.xml><?xml version="1.0" encoding="utf-8"?>
<sst xmlns="http://schemas.openxmlformats.org/spreadsheetml/2006/main" count="694" uniqueCount="469">
  <si>
    <t>mm</t>
    <phoneticPr fontId="2"/>
  </si>
  <si>
    <t>＝</t>
    <phoneticPr fontId="2"/>
  </si>
  <si>
    <t>ｂ＝</t>
    <phoneticPr fontId="2"/>
  </si>
  <si>
    <t>N・mm</t>
    <phoneticPr fontId="2"/>
  </si>
  <si>
    <t>Ｌ＝</t>
    <phoneticPr fontId="2"/>
  </si>
  <si>
    <t>１）</t>
    <phoneticPr fontId="2"/>
  </si>
  <si>
    <t>２）</t>
    <phoneticPr fontId="2"/>
  </si>
  <si>
    <t>３）</t>
    <phoneticPr fontId="2"/>
  </si>
  <si>
    <t>mm</t>
  </si>
  <si>
    <t>=</t>
    <phoneticPr fontId="2"/>
  </si>
  <si>
    <t>Ｇ=</t>
    <phoneticPr fontId="2"/>
  </si>
  <si>
    <t>d＝</t>
    <phoneticPr fontId="2"/>
  </si>
  <si>
    <t>°</t>
    <phoneticPr fontId="2"/>
  </si>
  <si>
    <t>rad</t>
    <phoneticPr fontId="2"/>
  </si>
  <si>
    <t>θ＝</t>
    <phoneticPr fontId="2"/>
  </si>
  <si>
    <t>ｄ＝</t>
    <phoneticPr fontId="2"/>
  </si>
  <si>
    <t>T＝</t>
    <phoneticPr fontId="2"/>
  </si>
  <si>
    <t>３２＊T*L</t>
    <phoneticPr fontId="2"/>
  </si>
  <si>
    <t>1000＊π＊G＊θ</t>
    <phoneticPr fontId="2"/>
  </si>
  <si>
    <t>πτa</t>
    <phoneticPr fontId="2"/>
  </si>
  <si>
    <t>τa＝</t>
    <phoneticPr fontId="2"/>
  </si>
  <si>
    <t>Ｐ＝</t>
    <phoneticPr fontId="2"/>
  </si>
  <si>
    <t>n＝</t>
    <phoneticPr fontId="2"/>
  </si>
  <si>
    <t>ア、中実軸　　</t>
    <rPh sb="2" eb="3">
      <t>ナカ</t>
    </rPh>
    <rPh sb="3" eb="4">
      <t>ジツ</t>
    </rPh>
    <rPh sb="4" eb="5">
      <t>ジク</t>
    </rPh>
    <phoneticPr fontId="2"/>
  </si>
  <si>
    <t>d≧</t>
    <phoneticPr fontId="2"/>
  </si>
  <si>
    <t>Ｔ＝</t>
    <phoneticPr fontId="2"/>
  </si>
  <si>
    <t>１６Ｔ</t>
    <phoneticPr fontId="2"/>
  </si>
  <si>
    <t>ＫＷ</t>
    <phoneticPr fontId="2"/>
  </si>
  <si>
    <t>１，転がり軸受けの寿命</t>
    <rPh sb="2" eb="3">
      <t>コロ</t>
    </rPh>
    <rPh sb="5" eb="7">
      <t>ジクウ</t>
    </rPh>
    <rPh sb="9" eb="11">
      <t>ジュミョウ</t>
    </rPh>
    <phoneticPr fontId="2"/>
  </si>
  <si>
    <t>１）定格寿命</t>
    <rPh sb="2" eb="4">
      <t>テイカク</t>
    </rPh>
    <rPh sb="4" eb="6">
      <t>ジュミョウ</t>
    </rPh>
    <phoneticPr fontId="2"/>
  </si>
  <si>
    <t>（C/W)^3</t>
    <phoneticPr fontId="2"/>
  </si>
  <si>
    <t>ア、玉軸受け</t>
    <rPh sb="2" eb="3">
      <t>タマ</t>
    </rPh>
    <rPh sb="3" eb="5">
      <t>ジクウ</t>
    </rPh>
    <phoneticPr fontId="2"/>
  </si>
  <si>
    <t>イ、ころ軸受け</t>
    <rPh sb="4" eb="6">
      <t>ジクウ</t>
    </rPh>
    <phoneticPr fontId="2"/>
  </si>
  <si>
    <t>10^6
回転</t>
    <rPh sb="5" eb="7">
      <t>カイテン</t>
    </rPh>
    <phoneticPr fontId="2"/>
  </si>
  <si>
    <t>2)寿命時間の計算</t>
    <rPh sb="2" eb="4">
      <t>ジュミョウ</t>
    </rPh>
    <rPh sb="4" eb="6">
      <t>ジカン</t>
    </rPh>
    <rPh sb="7" eb="9">
      <t>ケイサン</t>
    </rPh>
    <phoneticPr fontId="2"/>
  </si>
  <si>
    <t>：回転数（ｒｐｍ）</t>
    <rPh sb="1" eb="4">
      <t>カイテンスウ</t>
    </rPh>
    <phoneticPr fontId="2"/>
  </si>
  <si>
    <t>種別</t>
    <rPh sb="0" eb="2">
      <t>シュベツ</t>
    </rPh>
    <phoneticPr fontId="2"/>
  </si>
  <si>
    <t>０：玉軸受け</t>
    <rPh sb="2" eb="3">
      <t>タマ</t>
    </rPh>
    <rPh sb="3" eb="5">
      <t>ジクウ</t>
    </rPh>
    <phoneticPr fontId="2"/>
  </si>
  <si>
    <t>１：ころ軸受け</t>
    <rPh sb="4" eb="6">
      <t>ジクウ</t>
    </rPh>
    <phoneticPr fontId="2"/>
  </si>
  <si>
    <t>3)軸受けの選定(寿命時間、軸受け荷重、回転数が既知）</t>
    <rPh sb="2" eb="4">
      <t>ジクウ</t>
    </rPh>
    <rPh sb="6" eb="8">
      <t>センテイ</t>
    </rPh>
    <rPh sb="9" eb="11">
      <t>ジュミョウ</t>
    </rPh>
    <rPh sb="11" eb="13">
      <t>ジカン</t>
    </rPh>
    <rPh sb="14" eb="16">
      <t>ジクウ</t>
    </rPh>
    <rPh sb="17" eb="19">
      <t>カジュウ</t>
    </rPh>
    <rPh sb="20" eb="23">
      <t>カイテンスウ</t>
    </rPh>
    <rPh sb="24" eb="26">
      <t>キチ</t>
    </rPh>
    <phoneticPr fontId="2"/>
  </si>
  <si>
    <t>：寿命時間(ｈ)</t>
    <rPh sb="1" eb="3">
      <t>ジュミョウ</t>
    </rPh>
    <rPh sb="3" eb="5">
      <t>ジカン</t>
    </rPh>
    <phoneticPr fontId="2"/>
  </si>
  <si>
    <t>L^(1/3)*W
又は
L^(3/10)*W</t>
    <rPh sb="10" eb="11">
      <t>マタ</t>
    </rPh>
    <phoneticPr fontId="2"/>
  </si>
  <si>
    <t>：基本動定格加重(KN)</t>
    <rPh sb="1" eb="3">
      <t>キホン</t>
    </rPh>
    <rPh sb="3" eb="4">
      <t>ドウ</t>
    </rPh>
    <rPh sb="4" eb="6">
      <t>テイカク</t>
    </rPh>
    <rPh sb="6" eb="8">
      <t>カジュウ</t>
    </rPh>
    <phoneticPr fontId="2"/>
  </si>
  <si>
    <t>：荷重(KN)</t>
    <rPh sb="1" eb="3">
      <t>カジュウ</t>
    </rPh>
    <phoneticPr fontId="2"/>
  </si>
  <si>
    <t>Z２＝</t>
  </si>
  <si>
    <t>mm</t>
    <phoneticPr fontId="2"/>
  </si>
  <si>
    <t>動力　Ｐ＝</t>
    <rPh sb="0" eb="2">
      <t>ドウリョク</t>
    </rPh>
    <phoneticPr fontId="2"/>
  </si>
  <si>
    <t>減速比＝</t>
    <rPh sb="0" eb="2">
      <t>ゲンソク</t>
    </rPh>
    <rPh sb="2" eb="3">
      <t>ヒ</t>
    </rPh>
    <phoneticPr fontId="2"/>
  </si>
  <si>
    <t>ｂ</t>
    <phoneticPr fontId="2"/>
  </si>
  <si>
    <t>rpm</t>
    <phoneticPr fontId="2"/>
  </si>
  <si>
    <t>mm</t>
    <phoneticPr fontId="2"/>
  </si>
  <si>
    <t>ｖ＝</t>
    <phoneticPr fontId="2"/>
  </si>
  <si>
    <t>π・ｍ・Z1・n1</t>
    <phoneticPr fontId="2"/>
  </si>
  <si>
    <t>＝</t>
    <phoneticPr fontId="2"/>
  </si>
  <si>
    <t>m/s</t>
    <phoneticPr fontId="2"/>
  </si>
  <si>
    <t>n1＝</t>
    <phoneticPr fontId="2"/>
  </si>
  <si>
    <t>ｒｐｍ</t>
    <phoneticPr fontId="2"/>
  </si>
  <si>
    <t>mm</t>
    <phoneticPr fontId="2"/>
  </si>
  <si>
    <t>1000＊60</t>
    <phoneticPr fontId="2"/>
  </si>
  <si>
    <t>F＝</t>
    <phoneticPr fontId="2"/>
  </si>
  <si>
    <t>1000＊P</t>
    <phoneticPr fontId="2"/>
  </si>
  <si>
    <t>N</t>
    <phoneticPr fontId="2"/>
  </si>
  <si>
    <t>ｖ</t>
    <phoneticPr fontId="2"/>
  </si>
  <si>
    <r>
      <rPr>
        <b/>
        <sz val="14"/>
        <rFont val="ＭＳ Ｐゴシック"/>
        <family val="3"/>
        <charset val="128"/>
      </rPr>
      <t>σ</t>
    </r>
    <r>
      <rPr>
        <b/>
        <sz val="10"/>
        <rFont val="ＭＳ Ｐゴシック"/>
        <family val="3"/>
        <charset val="128"/>
      </rPr>
      <t>Ｆｌｉｍ</t>
    </r>
    <r>
      <rPr>
        <b/>
        <sz val="12"/>
        <rFont val="ＭＳ Ｐゴシック"/>
        <family val="3"/>
        <charset val="128"/>
      </rPr>
      <t>＝</t>
    </r>
    <phoneticPr fontId="2"/>
  </si>
  <si>
    <t>b≧</t>
    <phoneticPr fontId="2"/>
  </si>
  <si>
    <t>FYKaKv</t>
    <phoneticPr fontId="2"/>
  </si>
  <si>
    <t>ｍ＝</t>
    <phoneticPr fontId="2"/>
  </si>
  <si>
    <t>Kｖ＝</t>
    <phoneticPr fontId="2"/>
  </si>
  <si>
    <t>小歯車の歯数　Ｚ１</t>
    <rPh sb="0" eb="3">
      <t>ショウハグルマ</t>
    </rPh>
    <rPh sb="4" eb="5">
      <t>ハ</t>
    </rPh>
    <rPh sb="5" eb="6">
      <t>カズ</t>
    </rPh>
    <phoneticPr fontId="2"/>
  </si>
  <si>
    <t>大歯車の歯数　Ｚ２</t>
    <rPh sb="0" eb="1">
      <t>ダイ</t>
    </rPh>
    <rPh sb="1" eb="3">
      <t>ハグルマ</t>
    </rPh>
    <rPh sb="4" eb="5">
      <t>ハ</t>
    </rPh>
    <rPh sb="5" eb="6">
      <t>カズ</t>
    </rPh>
    <phoneticPr fontId="2"/>
  </si>
  <si>
    <t>減速比 (U）＝</t>
    <rPh sb="0" eb="2">
      <t>ゲンソク</t>
    </rPh>
    <rPh sb="2" eb="3">
      <t>ヒ</t>
    </rPh>
    <phoneticPr fontId="2"/>
  </si>
  <si>
    <t>備考</t>
    <rPh sb="0" eb="2">
      <t>ビコウ</t>
    </rPh>
    <phoneticPr fontId="2"/>
  </si>
  <si>
    <t>モジュール　m</t>
    <phoneticPr fontId="2"/>
  </si>
  <si>
    <t>Z1=</t>
    <phoneticPr fontId="2"/>
  </si>
  <si>
    <r>
      <t>ｍσ</t>
    </r>
    <r>
      <rPr>
        <b/>
        <sz val="10"/>
        <rFont val="ＭＳ Ｐゴシック"/>
        <family val="3"/>
        <charset val="128"/>
      </rPr>
      <t>Flim</t>
    </r>
    <phoneticPr fontId="2"/>
  </si>
  <si>
    <t>b≧</t>
    <phoneticPr fontId="2"/>
  </si>
  <si>
    <t>FKaKv</t>
    <phoneticPr fontId="2"/>
  </si>
  <si>
    <t>U+1</t>
    <phoneticPr fontId="2"/>
  </si>
  <si>
    <t>（ZH・ZE）＾２</t>
    <phoneticPr fontId="2"/>
  </si>
  <si>
    <t>ｍZ1</t>
    <phoneticPr fontId="2"/>
  </si>
  <si>
    <t>U</t>
    <phoneticPr fontId="2"/>
  </si>
  <si>
    <t>（σHLim）＾２</t>
    <phoneticPr fontId="2"/>
  </si>
  <si>
    <t>≧</t>
    <phoneticPr fontId="2"/>
  </si>
  <si>
    <t>mm</t>
    <phoneticPr fontId="2"/>
  </si>
  <si>
    <r>
      <rPr>
        <b/>
        <sz val="16"/>
        <rFont val="ＭＳ Ｐゴシック"/>
        <family val="3"/>
        <charset val="128"/>
      </rPr>
      <t>σ</t>
    </r>
    <r>
      <rPr>
        <b/>
        <sz val="10"/>
        <rFont val="ＭＳ Ｐゴシック"/>
        <family val="3"/>
        <charset val="128"/>
      </rPr>
      <t>Hｌｉｍ</t>
    </r>
    <r>
      <rPr>
        <b/>
        <sz val="12"/>
        <rFont val="ＭＳ Ｐゴシック"/>
        <family val="3"/>
        <charset val="128"/>
      </rPr>
      <t>＝</t>
    </r>
    <phoneticPr fontId="2"/>
  </si>
  <si>
    <r>
      <rPr>
        <b/>
        <sz val="14"/>
        <rFont val="ＭＳ Ｐゴシック"/>
        <family val="3"/>
        <charset val="128"/>
      </rPr>
      <t>Z</t>
    </r>
    <r>
      <rPr>
        <b/>
        <sz val="11"/>
        <rFont val="ＭＳ Ｐゴシック"/>
        <family val="3"/>
        <charset val="128"/>
      </rPr>
      <t>H</t>
    </r>
    <r>
      <rPr>
        <b/>
        <sz val="12"/>
        <rFont val="ＭＳ Ｐゴシック"/>
        <family val="3"/>
        <charset val="128"/>
      </rPr>
      <t>＝</t>
    </r>
    <phoneticPr fontId="2"/>
  </si>
  <si>
    <t>K=</t>
    <phoneticPr fontId="2"/>
  </si>
  <si>
    <r>
      <t>Z</t>
    </r>
    <r>
      <rPr>
        <b/>
        <sz val="11"/>
        <rFont val="ＭＳ Ｐゴシック"/>
        <family val="3"/>
        <charset val="128"/>
      </rPr>
      <t>E</t>
    </r>
    <r>
      <rPr>
        <b/>
        <sz val="14"/>
        <rFont val="ＭＳ Ｐゴシック"/>
        <family val="3"/>
        <charset val="128"/>
      </rPr>
      <t>＝</t>
    </r>
    <phoneticPr fontId="2"/>
  </si>
  <si>
    <t>U＝</t>
    <phoneticPr fontId="2"/>
  </si>
  <si>
    <t>Z１＝</t>
    <phoneticPr fontId="2"/>
  </si>
  <si>
    <t>mm</t>
    <phoneticPr fontId="2"/>
  </si>
  <si>
    <t>ｍ</t>
    <phoneticPr fontId="2"/>
  </si>
  <si>
    <t>Ka＝</t>
    <phoneticPr fontId="2"/>
  </si>
  <si>
    <t>小歯車のピッチ円直径　(d0）</t>
    <rPh sb="0" eb="1">
      <t>チイ</t>
    </rPh>
    <rPh sb="1" eb="3">
      <t>ハグルマ</t>
    </rPh>
    <rPh sb="7" eb="8">
      <t>エン</t>
    </rPh>
    <rPh sb="8" eb="10">
      <t>チョッケイ</t>
    </rPh>
    <phoneticPr fontId="2"/>
  </si>
  <si>
    <t>仮ﾓｼﾞｭｰﾙ　ｍ</t>
    <rPh sb="0" eb="1">
      <t>カリ</t>
    </rPh>
    <phoneticPr fontId="2"/>
  </si>
  <si>
    <t>歯　数　Z</t>
    <rPh sb="0" eb="1">
      <t>ハ</t>
    </rPh>
    <rPh sb="2" eb="3">
      <t>スウ</t>
    </rPh>
    <phoneticPr fontId="2"/>
  </si>
  <si>
    <t>Y　　　　値</t>
    <rPh sb="5" eb="6">
      <t>チ</t>
    </rPh>
    <phoneticPr fontId="2"/>
  </si>
  <si>
    <t>記事</t>
    <rPh sb="0" eb="2">
      <t>キジ</t>
    </rPh>
    <phoneticPr fontId="2"/>
  </si>
  <si>
    <t>歯車の等級</t>
    <rPh sb="0" eb="2">
      <t>ハグルマ</t>
    </rPh>
    <rPh sb="3" eb="5">
      <t>トウキュウ</t>
    </rPh>
    <phoneticPr fontId="2"/>
  </si>
  <si>
    <t>非修正</t>
    <rPh sb="0" eb="1">
      <t>ヒ</t>
    </rPh>
    <rPh sb="1" eb="3">
      <t>シュウセイ</t>
    </rPh>
    <phoneticPr fontId="2"/>
  </si>
  <si>
    <t>修正</t>
    <rPh sb="0" eb="2">
      <t>シュウセイ</t>
    </rPh>
    <phoneticPr fontId="2"/>
  </si>
  <si>
    <t>１～３</t>
    <phoneticPr fontId="2"/>
  </si>
  <si>
    <t>３～５</t>
    <phoneticPr fontId="2"/>
  </si>
  <si>
    <t>５～８</t>
    <phoneticPr fontId="2"/>
  </si>
  <si>
    <t>８～１２</t>
    <phoneticPr fontId="2"/>
  </si>
  <si>
    <t>ー</t>
    <phoneticPr fontId="2"/>
  </si>
  <si>
    <t>-</t>
    <phoneticPr fontId="2"/>
  </si>
  <si>
    <t>周速度 V (m/S)</t>
    <rPh sb="0" eb="1">
      <t>シュウ</t>
    </rPh>
    <rPh sb="1" eb="3">
      <t>ソクド</t>
    </rPh>
    <phoneticPr fontId="2"/>
  </si>
  <si>
    <t>1)仕　　様</t>
    <rPh sb="2" eb="3">
      <t>ツコウ</t>
    </rPh>
    <rPh sb="5" eb="6">
      <t>サマ</t>
    </rPh>
    <phoneticPr fontId="2"/>
  </si>
  <si>
    <t>KW</t>
    <phoneticPr fontId="2"/>
  </si>
  <si>
    <t>回転数　n1</t>
    <rPh sb="0" eb="3">
      <t>カイテンスウ</t>
    </rPh>
    <phoneticPr fontId="2"/>
  </si>
  <si>
    <t>rpm</t>
    <phoneticPr fontId="2"/>
  </si>
  <si>
    <t>減速比</t>
    <rPh sb="0" eb="2">
      <t>ゲンソク</t>
    </rPh>
    <rPh sb="2" eb="3">
      <t>ヒ</t>
    </rPh>
    <phoneticPr fontId="2"/>
  </si>
  <si>
    <t>回転数　n２</t>
    <rPh sb="0" eb="3">
      <t>カイテンスウ</t>
    </rPh>
    <phoneticPr fontId="2"/>
  </si>
  <si>
    <t>運転時間</t>
    <rPh sb="0" eb="2">
      <t>ウンテン</t>
    </rPh>
    <rPh sb="2" eb="4">
      <t>ジカン</t>
    </rPh>
    <phoneticPr fontId="2"/>
  </si>
  <si>
    <t>h/日</t>
    <rPh sb="2" eb="3">
      <t>ニチ</t>
    </rPh>
    <phoneticPr fontId="2"/>
  </si>
  <si>
    <t>２）設計動力の算出</t>
    <rPh sb="2" eb="4">
      <t>セッケイ</t>
    </rPh>
    <rPh sb="4" eb="6">
      <t>ドウリョク</t>
    </rPh>
    <rPh sb="7" eb="9">
      <t>サンシュツ</t>
    </rPh>
    <phoneticPr fontId="2"/>
  </si>
  <si>
    <t>定格出力　P</t>
    <rPh sb="0" eb="2">
      <t>テイカク</t>
    </rPh>
    <rPh sb="2" eb="4">
      <t>シュツリョク</t>
    </rPh>
    <phoneticPr fontId="2"/>
  </si>
  <si>
    <t>Pa＝</t>
    <phoneticPr fontId="2"/>
  </si>
  <si>
    <t>P＊K0</t>
    <phoneticPr fontId="2"/>
  </si>
  <si>
    <t>＝</t>
    <phoneticPr fontId="2"/>
  </si>
  <si>
    <t>Ｋｗ</t>
    <phoneticPr fontId="2"/>
  </si>
  <si>
    <t>過負荷係数</t>
    <rPh sb="0" eb="3">
      <t>カフカ</t>
    </rPh>
    <rPh sb="3" eb="5">
      <t>ケイスウ</t>
    </rPh>
    <phoneticPr fontId="2"/>
  </si>
  <si>
    <t>K0</t>
    <phoneticPr fontId="2"/>
  </si>
  <si>
    <t>3）Vベルトの種類</t>
    <rPh sb="7" eb="9">
      <t>シュルイ</t>
    </rPh>
    <phoneticPr fontId="2"/>
  </si>
  <si>
    <t>設計動力および小プーリの回転速度より細幅ベルトの種類決定</t>
    <rPh sb="0" eb="2">
      <t>セッケイ</t>
    </rPh>
    <rPh sb="2" eb="4">
      <t>ドウリョク</t>
    </rPh>
    <rPh sb="7" eb="8">
      <t>ショウ</t>
    </rPh>
    <rPh sb="12" eb="14">
      <t>カイテン</t>
    </rPh>
    <rPh sb="14" eb="16">
      <t>ソクド</t>
    </rPh>
    <rPh sb="18" eb="19">
      <t>ホソ</t>
    </rPh>
    <rPh sb="19" eb="20">
      <t>ハバ</t>
    </rPh>
    <rPh sb="24" eb="26">
      <t>シュルイ</t>
    </rPh>
    <rPh sb="26" eb="28">
      <t>ケッテイ</t>
    </rPh>
    <phoneticPr fontId="2"/>
  </si>
  <si>
    <t>小プーリ　dm1</t>
    <rPh sb="0" eb="1">
      <t>ショウ</t>
    </rPh>
    <phoneticPr fontId="2"/>
  </si>
  <si>
    <t>mm</t>
    <phoneticPr fontId="2"/>
  </si>
  <si>
    <t>大プーリ　dm２</t>
    <rPh sb="0" eb="1">
      <t>ダイ</t>
    </rPh>
    <phoneticPr fontId="2"/>
  </si>
  <si>
    <t>ベルト長さ　Ｌ</t>
    <rPh sb="3" eb="4">
      <t>ナガ</t>
    </rPh>
    <phoneticPr fontId="2"/>
  </si>
  <si>
    <t>小プーリ　de1</t>
    <rPh sb="0" eb="1">
      <t>ショウ</t>
    </rPh>
    <phoneticPr fontId="2"/>
  </si>
  <si>
    <t>大プーリ　de２</t>
    <rPh sb="0" eb="1">
      <t>ダイ</t>
    </rPh>
    <phoneticPr fontId="2"/>
  </si>
  <si>
    <t>(教科書　195P　図7-5　参照）</t>
    <rPh sb="1" eb="4">
      <t>キョウカショ</t>
    </rPh>
    <rPh sb="10" eb="11">
      <t>ズ</t>
    </rPh>
    <rPh sb="15" eb="17">
      <t>サンショウ</t>
    </rPh>
    <phoneticPr fontId="2"/>
  </si>
  <si>
    <t>４）Vプーリの呼び径de1とde2</t>
    <rPh sb="7" eb="8">
      <t>ヨ</t>
    </rPh>
    <rPh sb="9" eb="10">
      <t>ケイ</t>
    </rPh>
    <phoneticPr fontId="2"/>
  </si>
  <si>
    <t>最小プーリ径よりやや大きめに設定する</t>
    <rPh sb="0" eb="2">
      <t>サイショウ</t>
    </rPh>
    <rPh sb="5" eb="6">
      <t>ケイ</t>
    </rPh>
    <rPh sb="10" eb="11">
      <t>オオ</t>
    </rPh>
    <rPh sb="14" eb="16">
      <t>セッテイ</t>
    </rPh>
    <phoneticPr fontId="2"/>
  </si>
  <si>
    <t>ベルトの種類</t>
    <rPh sb="4" eb="6">
      <t>シュルイ</t>
    </rPh>
    <phoneticPr fontId="2"/>
  </si>
  <si>
    <t>最小プーリ外径(mm）</t>
    <rPh sb="0" eb="2">
      <t>サイショウ</t>
    </rPh>
    <rPh sb="5" eb="6">
      <t>ガイ</t>
    </rPh>
    <rPh sb="6" eb="7">
      <t>ケイ</t>
    </rPh>
    <phoneticPr fontId="2"/>
  </si>
  <si>
    <t>3V</t>
    <phoneticPr fontId="2"/>
  </si>
  <si>
    <t>5V</t>
    <phoneticPr fontId="2"/>
  </si>
  <si>
    <t>8V</t>
    <phoneticPr fontId="2"/>
  </si>
  <si>
    <t>記　　　　　事</t>
    <rPh sb="0" eb="1">
      <t>キ</t>
    </rPh>
    <rPh sb="6" eb="7">
      <t>コト</t>
    </rPh>
    <phoneticPr fontId="2"/>
  </si>
  <si>
    <t>最小ﾌﾟｰﾘ外径de</t>
    <rPh sb="0" eb="2">
      <t>サイショウ</t>
    </rPh>
    <rPh sb="6" eb="7">
      <t>ガイ</t>
    </rPh>
    <rPh sb="7" eb="8">
      <t>ケイ</t>
    </rPh>
    <phoneticPr fontId="2"/>
  </si>
  <si>
    <t>５）細幅Vベルトの長さ</t>
    <rPh sb="2" eb="3">
      <t>ホソ</t>
    </rPh>
    <rPh sb="3" eb="4">
      <t>ハバ</t>
    </rPh>
    <rPh sb="9" eb="10">
      <t>ナガ</t>
    </rPh>
    <phoneticPr fontId="2"/>
  </si>
  <si>
    <t>教科書　190P　７－２式によりVベルトの長さを計算。</t>
    <rPh sb="0" eb="3">
      <t>キョウカショ</t>
    </rPh>
    <rPh sb="12" eb="13">
      <t>シキ</t>
    </rPh>
    <rPh sb="21" eb="22">
      <t>ナガ</t>
    </rPh>
    <rPh sb="24" eb="26">
      <t>ケイサン</t>
    </rPh>
    <phoneticPr fontId="2"/>
  </si>
  <si>
    <t>教科書　19１P　表7-3によりVベルトの長さを計算結果に近いものを算出</t>
    <rPh sb="0" eb="3">
      <t>キョウカショ</t>
    </rPh>
    <rPh sb="9" eb="10">
      <t>ヒョウ</t>
    </rPh>
    <rPh sb="21" eb="22">
      <t>ナガ</t>
    </rPh>
    <rPh sb="24" eb="26">
      <t>ケイサン</t>
    </rPh>
    <rPh sb="26" eb="28">
      <t>ケッカ</t>
    </rPh>
    <rPh sb="29" eb="30">
      <t>チカ</t>
    </rPh>
    <rPh sb="34" eb="36">
      <t>サンシュツ</t>
    </rPh>
    <phoneticPr fontId="2"/>
  </si>
  <si>
    <t>ベルト長さ(計算値）</t>
    <rPh sb="3" eb="4">
      <t>ナガ</t>
    </rPh>
    <rPh sb="6" eb="9">
      <t>ケイサンチ</t>
    </rPh>
    <phoneticPr fontId="2"/>
  </si>
  <si>
    <t>６）軸間距離の修正</t>
    <rPh sb="2" eb="3">
      <t>ジク</t>
    </rPh>
    <rPh sb="3" eb="4">
      <t>カン</t>
    </rPh>
    <rPh sb="4" eb="6">
      <t>キョリ</t>
    </rPh>
    <rPh sb="7" eb="9">
      <t>シュウセイ</t>
    </rPh>
    <phoneticPr fontId="2"/>
  </si>
  <si>
    <t>a＝</t>
    <phoneticPr fontId="2"/>
  </si>
  <si>
    <t>B＋（B^2-2(dm2-dm1)^2)^0.5</t>
    <phoneticPr fontId="2"/>
  </si>
  <si>
    <t>B＝L-1.57(dm2+dm1)</t>
    <phoneticPr fontId="2"/>
  </si>
  <si>
    <t>7）Vベルトの使用本数</t>
    <rPh sb="7" eb="9">
      <t>シヨウ</t>
    </rPh>
    <rPh sb="9" eb="11">
      <t>ホンスウ</t>
    </rPh>
    <phoneticPr fontId="2"/>
  </si>
  <si>
    <t>Ft＝</t>
    <phoneticPr fontId="2"/>
  </si>
  <si>
    <t>1000＊Pd</t>
    <phoneticPr fontId="2"/>
  </si>
  <si>
    <t>v</t>
    <phoneticPr fontId="2"/>
  </si>
  <si>
    <t>ベルトの許容張力　Fa＝</t>
    <rPh sb="4" eb="6">
      <t>キョヨウ</t>
    </rPh>
    <rPh sb="6" eb="8">
      <t>チョウリョク</t>
    </rPh>
    <phoneticPr fontId="2"/>
  </si>
  <si>
    <t>2.3以上</t>
    <rPh sb="3" eb="5">
      <t>イジョウ</t>
    </rPh>
    <phoneticPr fontId="2"/>
  </si>
  <si>
    <t>5.4以上</t>
    <rPh sb="3" eb="5">
      <t>イジョウ</t>
    </rPh>
    <phoneticPr fontId="2"/>
  </si>
  <si>
    <t>12.7以上</t>
    <rPh sb="4" eb="6">
      <t>イジョウ</t>
    </rPh>
    <phoneticPr fontId="2"/>
  </si>
  <si>
    <t>機械的性質（引張強さ）</t>
    <rPh sb="0" eb="3">
      <t>キカイテキ</t>
    </rPh>
    <rPh sb="3" eb="5">
      <t>セイシツ</t>
    </rPh>
    <rPh sb="6" eb="7">
      <t>ヒ</t>
    </rPh>
    <rPh sb="7" eb="8">
      <t>パ</t>
    </rPh>
    <rPh sb="8" eb="9">
      <t>ツヨ</t>
    </rPh>
    <phoneticPr fontId="2"/>
  </si>
  <si>
    <t>単位　KN</t>
    <rPh sb="0" eb="2">
      <t>タンイ</t>
    </rPh>
    <phoneticPr fontId="2"/>
  </si>
  <si>
    <t>安全率</t>
    <rPh sb="0" eb="2">
      <t>アンゼン</t>
    </rPh>
    <rPh sb="2" eb="3">
      <t>リツ</t>
    </rPh>
    <phoneticPr fontId="2"/>
  </si>
  <si>
    <t>ベルトの引張強さ</t>
    <rPh sb="4" eb="5">
      <t>ヒ</t>
    </rPh>
    <rPh sb="5" eb="6">
      <t>パ</t>
    </rPh>
    <rPh sb="6" eb="7">
      <t>ツヨ</t>
    </rPh>
    <phoneticPr fontId="2"/>
  </si>
  <si>
    <t>Ft＜Fa　となるよう
ベルトの本数を決める。</t>
    <rPh sb="16" eb="18">
      <t>ホンスウ</t>
    </rPh>
    <rPh sb="19" eb="20">
      <t>キ</t>
    </rPh>
    <phoneticPr fontId="2"/>
  </si>
  <si>
    <t>減速比より大プーリ径算出　de２</t>
    <rPh sb="0" eb="2">
      <t>ゲンソク</t>
    </rPh>
    <rPh sb="2" eb="3">
      <t>ヒ</t>
    </rPh>
    <rPh sb="5" eb="6">
      <t>ダイ</t>
    </rPh>
    <rPh sb="9" eb="10">
      <t>ケイ</t>
    </rPh>
    <rPh sb="10" eb="12">
      <t>サンシュツ</t>
    </rPh>
    <phoneticPr fontId="2"/>
  </si>
  <si>
    <t>ベルトの本数</t>
    <rPh sb="4" eb="6">
      <t>ホンスウ</t>
    </rPh>
    <phoneticPr fontId="2"/>
  </si>
  <si>
    <t>n=</t>
    <phoneticPr fontId="2"/>
  </si>
  <si>
    <t>本</t>
    <rPh sb="0" eb="1">
      <t>ホン</t>
    </rPh>
    <phoneticPr fontId="2"/>
  </si>
  <si>
    <t>接触角　φ</t>
    <rPh sb="0" eb="2">
      <t>セッショク</t>
    </rPh>
    <rPh sb="2" eb="3">
      <t>カク</t>
    </rPh>
    <phoneticPr fontId="2"/>
  </si>
  <si>
    <t>＝１８０°-２＊ASIN（dm2-dm1/2a）</t>
    <phoneticPr fontId="2"/>
  </si>
  <si>
    <t>(教科書　193P　図7-5　参照）</t>
    <rPh sb="1" eb="4">
      <t>キョウカショ</t>
    </rPh>
    <rPh sb="10" eb="11">
      <t>ズ</t>
    </rPh>
    <rPh sb="15" eb="17">
      <t>サンショウ</t>
    </rPh>
    <phoneticPr fontId="2"/>
  </si>
  <si>
    <t>3Vの値 k＝</t>
    <rPh sb="3" eb="4">
      <t>アタイ</t>
    </rPh>
    <phoneticPr fontId="2"/>
  </si>
  <si>
    <t>接触角　φの検討</t>
    <rPh sb="0" eb="2">
      <t>セッショク</t>
    </rPh>
    <rPh sb="2" eb="3">
      <t>カク</t>
    </rPh>
    <rPh sb="6" eb="8">
      <t>ケントウ</t>
    </rPh>
    <phoneticPr fontId="2"/>
  </si>
  <si>
    <t>a　（軸間ｷｮﾘ）</t>
    <rPh sb="3" eb="4">
      <t>ジク</t>
    </rPh>
    <rPh sb="4" eb="5">
      <t>カン</t>
    </rPh>
    <phoneticPr fontId="2"/>
  </si>
  <si>
    <t>a=</t>
    <phoneticPr fontId="2"/>
  </si>
  <si>
    <t>a＞de1＋de２/2</t>
    <phoneticPr fontId="2"/>
  </si>
  <si>
    <t>d0：</t>
    <phoneticPr fontId="2"/>
  </si>
  <si>
    <t>ねじり剛性から求めた値</t>
    <rPh sb="3" eb="5">
      <t>ゴウセイ</t>
    </rPh>
    <rPh sb="7" eb="8">
      <t>モト</t>
    </rPh>
    <rPh sb="10" eb="11">
      <t>アタイ</t>
    </rPh>
    <phoneticPr fontId="2"/>
  </si>
  <si>
    <t>d0+t</t>
    <phoneticPr fontId="2"/>
  </si>
  <si>
    <t>≠</t>
    <phoneticPr fontId="2"/>
  </si>
  <si>
    <t>d1=</t>
    <phoneticPr fontId="2"/>
  </si>
  <si>
    <t>材質</t>
    <rPh sb="0" eb="2">
      <t>ザイシツ</t>
    </rPh>
    <phoneticPr fontId="2"/>
  </si>
  <si>
    <t>材　　　質</t>
    <rPh sb="0" eb="1">
      <t>ザイ</t>
    </rPh>
    <rPh sb="4" eb="5">
      <t>シツ</t>
    </rPh>
    <phoneticPr fontId="2"/>
  </si>
  <si>
    <t>Ｓ１５ＣＫ</t>
    <phoneticPr fontId="2"/>
  </si>
  <si>
    <t>SNC263,415</t>
    <phoneticPr fontId="2"/>
  </si>
  <si>
    <t>SNC631,815</t>
    <phoneticPr fontId="2"/>
  </si>
  <si>
    <t>車軸、一般軸</t>
    <rPh sb="0" eb="2">
      <t>シャジク</t>
    </rPh>
    <rPh sb="3" eb="5">
      <t>イッパン</t>
    </rPh>
    <rPh sb="5" eb="6">
      <t>ジク</t>
    </rPh>
    <phoneticPr fontId="2"/>
  </si>
  <si>
    <t>小物軸、ﾋﾟｽﾄﾝﾋﾟﾝ</t>
    <rPh sb="0" eb="2">
      <t>コモノ</t>
    </rPh>
    <rPh sb="2" eb="3">
      <t>ジク</t>
    </rPh>
    <phoneticPr fontId="2"/>
  </si>
  <si>
    <t>ｸﾗﾝｸ軸、ｶﾑ軸</t>
    <rPh sb="4" eb="5">
      <t>ジク</t>
    </rPh>
    <rPh sb="8" eb="9">
      <t>ジク</t>
    </rPh>
    <phoneticPr fontId="2"/>
  </si>
  <si>
    <t>カム軸</t>
    <rPh sb="2" eb="3">
      <t>ジク</t>
    </rPh>
    <phoneticPr fontId="2"/>
  </si>
  <si>
    <t>1)小歯車</t>
    <rPh sb="2" eb="5">
      <t>ショウハグルマ</t>
    </rPh>
    <phoneticPr fontId="2"/>
  </si>
  <si>
    <t>標準平歯車の限界歯数は、１７程度といわれている。</t>
    <rPh sb="0" eb="2">
      <t>ヒョウジュン</t>
    </rPh>
    <rPh sb="2" eb="3">
      <t>ヒラ</t>
    </rPh>
    <rPh sb="3" eb="5">
      <t>ハグルマ</t>
    </rPh>
    <rPh sb="6" eb="8">
      <t>ゲンカイ</t>
    </rPh>
    <rPh sb="8" eb="9">
      <t>ハ</t>
    </rPh>
    <rPh sb="9" eb="10">
      <t>カズ</t>
    </rPh>
    <rPh sb="14" eb="16">
      <t>テイド</t>
    </rPh>
    <phoneticPr fontId="2"/>
  </si>
  <si>
    <t>回転速度　n2＝</t>
    <rPh sb="0" eb="2">
      <t>カイテン</t>
    </rPh>
    <rPh sb="2" eb="4">
      <t>ソクド</t>
    </rPh>
    <phoneticPr fontId="2"/>
  </si>
  <si>
    <t>回転速度　n3＝</t>
    <rPh sb="0" eb="2">
      <t>カイテン</t>
    </rPh>
    <rPh sb="2" eb="4">
      <t>ソクド</t>
    </rPh>
    <phoneticPr fontId="2"/>
  </si>
  <si>
    <t>歯形係数　Ｙ（機械工学便覧より）</t>
    <rPh sb="0" eb="2">
      <t>ハガタ</t>
    </rPh>
    <rPh sb="2" eb="4">
      <t>ケイスウ</t>
    </rPh>
    <rPh sb="7" eb="9">
      <t>キカイ</t>
    </rPh>
    <rPh sb="9" eb="11">
      <t>コウガク</t>
    </rPh>
    <rPh sb="11" eb="13">
      <t>ビンラン</t>
    </rPh>
    <phoneticPr fontId="2"/>
  </si>
  <si>
    <t>歯幅係数Ｋは
６～10程度</t>
    <rPh sb="0" eb="1">
      <t>ハ</t>
    </rPh>
    <rPh sb="1" eb="2">
      <t>ハバ</t>
    </rPh>
    <rPh sb="2" eb="4">
      <t>ケイスウ</t>
    </rPh>
    <rPh sb="11" eb="13">
      <t>テイド</t>
    </rPh>
    <phoneticPr fontId="2"/>
  </si>
  <si>
    <t>Y＝</t>
    <phoneticPr fontId="2"/>
  </si>
  <si>
    <t>Ka＝</t>
    <phoneticPr fontId="2"/>
  </si>
  <si>
    <t>Kｖ＝</t>
    <phoneticPr fontId="2"/>
  </si>
  <si>
    <t>動荷重係数　kv</t>
    <rPh sb="0" eb="1">
      <t>ドウ</t>
    </rPh>
    <rPh sb="1" eb="3">
      <t>カジュウ</t>
    </rPh>
    <rPh sb="3" eb="5">
      <t>ケイスウ</t>
    </rPh>
    <phoneticPr fontId="2"/>
  </si>
  <si>
    <t>ＳＣ４８０</t>
    <phoneticPr fontId="2"/>
  </si>
  <si>
    <t>Ｓ３５Ｃ(HB180)</t>
    <phoneticPr fontId="2"/>
  </si>
  <si>
    <t>大歯車のピッチ円直径　(d0）</t>
    <rPh sb="0" eb="1">
      <t>ダイ</t>
    </rPh>
    <rPh sb="1" eb="3">
      <t>ハグルマ</t>
    </rPh>
    <rPh sb="7" eb="8">
      <t>エン</t>
    </rPh>
    <rPh sb="8" eb="10">
      <t>チョッケイ</t>
    </rPh>
    <phoneticPr fontId="2"/>
  </si>
  <si>
    <t>Z2=</t>
    <phoneticPr fontId="2"/>
  </si>
  <si>
    <t>n3＝</t>
    <phoneticPr fontId="2"/>
  </si>
  <si>
    <t>π・ｍ・Z2・n3</t>
    <phoneticPr fontId="2"/>
  </si>
  <si>
    <t>歯車歯形</t>
    <rPh sb="0" eb="2">
      <t>ハグルマ</t>
    </rPh>
    <rPh sb="2" eb="3">
      <t>ハ</t>
    </rPh>
    <rPh sb="3" eb="4">
      <t>カタ</t>
    </rPh>
    <phoneticPr fontId="2"/>
  </si>
  <si>
    <t>大小歯車</t>
    <rPh sb="0" eb="2">
      <t>ダイショウ</t>
    </rPh>
    <rPh sb="2" eb="4">
      <t>ハグルマ</t>
    </rPh>
    <phoneticPr fontId="2"/>
  </si>
  <si>
    <t>圧力角</t>
    <rPh sb="0" eb="2">
      <t>アツリョク</t>
    </rPh>
    <rPh sb="2" eb="3">
      <t>カク</t>
    </rPh>
    <phoneticPr fontId="2"/>
  </si>
  <si>
    <t>ﾋﾟｯﾁ円直径</t>
    <rPh sb="4" eb="5">
      <t>エン</t>
    </rPh>
    <rPh sb="5" eb="7">
      <t>チョッケイ</t>
    </rPh>
    <phoneticPr fontId="2"/>
  </si>
  <si>
    <t>歯　　幅</t>
    <rPh sb="0" eb="1">
      <t>ハ</t>
    </rPh>
    <rPh sb="3" eb="4">
      <t>ハバ</t>
    </rPh>
    <phoneticPr fontId="2"/>
  </si>
  <si>
    <t>中心ｷｮﾘ</t>
    <rPh sb="0" eb="2">
      <t>チュウシン</t>
    </rPh>
    <phoneticPr fontId="2"/>
  </si>
  <si>
    <t>材　　質</t>
    <rPh sb="0" eb="1">
      <t>ザイ</t>
    </rPh>
    <rPh sb="3" eb="4">
      <t>シツ</t>
    </rPh>
    <phoneticPr fontId="2"/>
  </si>
  <si>
    <t>回転数</t>
    <rPh sb="0" eb="3">
      <t>カイテンスウ</t>
    </rPh>
    <phoneticPr fontId="2"/>
  </si>
  <si>
    <t>並歯標準平歯車</t>
    <rPh sb="0" eb="1">
      <t>ナミ</t>
    </rPh>
    <rPh sb="1" eb="2">
      <t>ハ</t>
    </rPh>
    <rPh sb="2" eb="4">
      <t>ヒョウジュン</t>
    </rPh>
    <rPh sb="4" eb="5">
      <t>ヒラ</t>
    </rPh>
    <rPh sb="5" eb="7">
      <t>ハグルマ</t>
    </rPh>
    <phoneticPr fontId="2"/>
  </si>
  <si>
    <t>小歯車</t>
    <rPh sb="0" eb="1">
      <t>ショウ</t>
    </rPh>
    <rPh sb="1" eb="3">
      <t>ハグルマ</t>
    </rPh>
    <phoneticPr fontId="2"/>
  </si>
  <si>
    <t>大歯車</t>
    <rPh sb="0" eb="1">
      <t>オオ</t>
    </rPh>
    <rPh sb="1" eb="3">
      <t>ハグルマ</t>
    </rPh>
    <phoneticPr fontId="2"/>
  </si>
  <si>
    <t>歯　　数</t>
    <rPh sb="0" eb="1">
      <t>ハ</t>
    </rPh>
    <rPh sb="3" eb="4">
      <t>カズ</t>
    </rPh>
    <phoneticPr fontId="2"/>
  </si>
  <si>
    <t>モジュール</t>
    <phoneticPr fontId="2"/>
  </si>
  <si>
    <t>２０°</t>
    <phoneticPr fontId="2"/>
  </si>
  <si>
    <t>S35C(HB180)</t>
    <phoneticPr fontId="2"/>
  </si>
  <si>
    <t>SC480</t>
    <phoneticPr fontId="2"/>
  </si>
  <si>
    <t>８）Ｖプーリの諸元</t>
    <rPh sb="7" eb="9">
      <t>モロモト</t>
    </rPh>
    <phoneticPr fontId="2"/>
  </si>
  <si>
    <t>４）平歯車の諸元</t>
    <rPh sb="2" eb="3">
      <t>ヒラ</t>
    </rPh>
    <rPh sb="3" eb="5">
      <t>ハグルマ</t>
    </rPh>
    <rPh sb="6" eb="8">
      <t>モロモト</t>
    </rPh>
    <phoneticPr fontId="2"/>
  </si>
  <si>
    <t>Ｖベルト</t>
    <phoneticPr fontId="2"/>
  </si>
  <si>
    <t>大小ﾌﾟｰﾘ</t>
    <rPh sb="0" eb="2">
      <t>ダイショウ</t>
    </rPh>
    <phoneticPr fontId="2"/>
  </si>
  <si>
    <t>呼び外径</t>
    <rPh sb="0" eb="1">
      <t>ヨ</t>
    </rPh>
    <rPh sb="2" eb="3">
      <t>ガイ</t>
    </rPh>
    <rPh sb="3" eb="4">
      <t>ケイ</t>
    </rPh>
    <phoneticPr fontId="2"/>
  </si>
  <si>
    <t>1段目減速比</t>
    <rPh sb="1" eb="3">
      <t>ダンメ</t>
    </rPh>
    <rPh sb="3" eb="5">
      <t>ゲンソク</t>
    </rPh>
    <rPh sb="5" eb="6">
      <t>ヒ</t>
    </rPh>
    <phoneticPr fontId="2"/>
  </si>
  <si>
    <t>記　事</t>
    <rPh sb="0" eb="1">
      <t>キ</t>
    </rPh>
    <rPh sb="2" eb="3">
      <t>コト</t>
    </rPh>
    <phoneticPr fontId="2"/>
  </si>
  <si>
    <t>*標準品があるので、購入品の採用とする。</t>
    <rPh sb="1" eb="3">
      <t>ヒョウジュン</t>
    </rPh>
    <rPh sb="3" eb="4">
      <t>ヒン</t>
    </rPh>
    <rPh sb="10" eb="12">
      <t>コウニュウ</t>
    </rPh>
    <rPh sb="12" eb="13">
      <t>ヒン</t>
    </rPh>
    <rPh sb="14" eb="16">
      <t>サイヨウ</t>
    </rPh>
    <phoneticPr fontId="2"/>
  </si>
  <si>
    <t>調達方法</t>
    <rPh sb="0" eb="2">
      <t>チョウタツ</t>
    </rPh>
    <rPh sb="2" eb="4">
      <t>ホウホウ</t>
    </rPh>
    <phoneticPr fontId="2"/>
  </si>
  <si>
    <t>電動機軸に組み込むので規格から</t>
    <rPh sb="0" eb="3">
      <t>デンドウキ</t>
    </rPh>
    <rPh sb="3" eb="4">
      <t>ジク</t>
    </rPh>
    <rPh sb="5" eb="6">
      <t>ク</t>
    </rPh>
    <rPh sb="7" eb="8">
      <t>コ</t>
    </rPh>
    <rPh sb="11" eb="13">
      <t>キカク</t>
    </rPh>
    <phoneticPr fontId="2"/>
  </si>
  <si>
    <r>
      <t>°</t>
    </r>
    <r>
      <rPr>
        <b/>
        <sz val="11"/>
        <rFont val="ＭＳ Ｐゴシック"/>
        <family val="3"/>
        <charset val="128"/>
      </rPr>
      <t>(φ&gt;=120°）</t>
    </r>
    <phoneticPr fontId="2"/>
  </si>
  <si>
    <t>呼び番号（５００）</t>
    <rPh sb="0" eb="1">
      <t>ヨ</t>
    </rPh>
    <rPh sb="2" eb="4">
      <t>バンゴウ</t>
    </rPh>
    <phoneticPr fontId="2"/>
  </si>
  <si>
    <t>キー溝高さ(30～38では・・5mm)</t>
    <rPh sb="2" eb="3">
      <t>ミゾ</t>
    </rPh>
    <rPh sb="3" eb="4">
      <t>タカ</t>
    </rPh>
    <phoneticPr fontId="2"/>
  </si>
  <si>
    <t>t１：</t>
    <phoneticPr fontId="2"/>
  </si>
  <si>
    <t>d0+t１</t>
    <phoneticPr fontId="2"/>
  </si>
  <si>
    <t>(軸径は、標準径より・・機械製図93P）</t>
    <rPh sb="1" eb="2">
      <t>ジク</t>
    </rPh>
    <rPh sb="2" eb="3">
      <t>ケイ</t>
    </rPh>
    <rPh sb="5" eb="7">
      <t>ヒョウジュン</t>
    </rPh>
    <rPh sb="7" eb="8">
      <t>ケイ</t>
    </rPh>
    <rPh sb="12" eb="14">
      <t>キカイ</t>
    </rPh>
    <rPh sb="14" eb="16">
      <t>セイズ</t>
    </rPh>
    <phoneticPr fontId="2"/>
  </si>
  <si>
    <t>1基本構想</t>
    <rPh sb="1" eb="3">
      <t>キホン</t>
    </rPh>
    <rPh sb="3" eb="5">
      <t>コウソウ</t>
    </rPh>
    <phoneticPr fontId="2"/>
  </si>
  <si>
    <t>定格出力</t>
    <rPh sb="0" eb="2">
      <t>テイカク</t>
    </rPh>
    <rPh sb="2" eb="4">
      <t>シュツリョク</t>
    </rPh>
    <phoneticPr fontId="2"/>
  </si>
  <si>
    <t>原動機回転数</t>
    <rPh sb="0" eb="3">
      <t>ゲンドウキ</t>
    </rPh>
    <rPh sb="3" eb="6">
      <t>カイテンスウ</t>
    </rPh>
    <phoneticPr fontId="2"/>
  </si>
  <si>
    <t>出力回転数</t>
    <rPh sb="0" eb="2">
      <t>シュツリョク</t>
    </rPh>
    <rPh sb="2" eb="5">
      <t>カイテンスウ</t>
    </rPh>
    <phoneticPr fontId="2"/>
  </si>
  <si>
    <t>rpm</t>
    <phoneticPr fontId="2"/>
  </si>
  <si>
    <t>i＝</t>
    <phoneticPr fontId="2"/>
  </si>
  <si>
    <t>i1＊i2</t>
    <phoneticPr fontId="2"/>
  </si>
  <si>
    <t>i1：</t>
    <phoneticPr fontId="2"/>
  </si>
  <si>
    <t>i2：</t>
    <phoneticPr fontId="2"/>
  </si>
  <si>
    <t>1段目　減速（Ｖプーリで）</t>
    <rPh sb="1" eb="3">
      <t>ダンメ</t>
    </rPh>
    <rPh sb="4" eb="6">
      <t>ゲンソク</t>
    </rPh>
    <phoneticPr fontId="2"/>
  </si>
  <si>
    <t>2段目　減速(平歯車で）</t>
    <rPh sb="1" eb="3">
      <t>ダンメ</t>
    </rPh>
    <rPh sb="4" eb="6">
      <t>ゲンソク</t>
    </rPh>
    <rPh sb="7" eb="8">
      <t>ヒラ</t>
    </rPh>
    <rPh sb="8" eb="10">
      <t>ハグルマ</t>
    </rPh>
    <phoneticPr fontId="2"/>
  </si>
  <si>
    <t>騒音・軸間距離等考慮し、1段目はＶベルトを使用する。</t>
    <rPh sb="0" eb="2">
      <t>ソウオン</t>
    </rPh>
    <rPh sb="3" eb="4">
      <t>ジク</t>
    </rPh>
    <rPh sb="4" eb="5">
      <t>カン</t>
    </rPh>
    <rPh sb="5" eb="7">
      <t>キョリ</t>
    </rPh>
    <rPh sb="7" eb="8">
      <t>トウ</t>
    </rPh>
    <rPh sb="8" eb="10">
      <t>コウリョ</t>
    </rPh>
    <rPh sb="13" eb="15">
      <t>ダンメ</t>
    </rPh>
    <rPh sb="21" eb="23">
      <t>シヨウ</t>
    </rPh>
    <phoneticPr fontId="2"/>
  </si>
  <si>
    <t>減速比　i1は今回3程度を考える。</t>
    <rPh sb="0" eb="2">
      <t>ゲンソク</t>
    </rPh>
    <rPh sb="2" eb="3">
      <t>ヒ</t>
    </rPh>
    <rPh sb="7" eb="9">
      <t>コンカイ</t>
    </rPh>
    <rPh sb="10" eb="12">
      <t>テイド</t>
    </rPh>
    <rPh sb="13" eb="14">
      <t>カンガ</t>
    </rPh>
    <phoneticPr fontId="2"/>
  </si>
  <si>
    <t>平歯車による限界減速比は　５～７　程度。</t>
    <rPh sb="0" eb="1">
      <t>ヒラ</t>
    </rPh>
    <rPh sb="1" eb="3">
      <t>ハグルマ</t>
    </rPh>
    <rPh sb="6" eb="8">
      <t>ゲンカイ</t>
    </rPh>
    <rPh sb="8" eb="10">
      <t>ゲンソク</t>
    </rPh>
    <rPh sb="10" eb="11">
      <t>ヒ</t>
    </rPh>
    <rPh sb="17" eb="19">
      <t>テイド</t>
    </rPh>
    <phoneticPr fontId="2"/>
  </si>
  <si>
    <t>i1=</t>
    <phoneticPr fontId="2"/>
  </si>
  <si>
    <t>i２=</t>
    <phoneticPr fontId="2"/>
  </si>
  <si>
    <t>i/i１</t>
    <phoneticPr fontId="2"/>
  </si>
  <si>
    <t>1-1) 速度減速比</t>
    <rPh sb="5" eb="7">
      <t>ソクド</t>
    </rPh>
    <rPh sb="7" eb="9">
      <t>ゲンソク</t>
    </rPh>
    <rPh sb="9" eb="10">
      <t>ヒ</t>
    </rPh>
    <phoneticPr fontId="2"/>
  </si>
  <si>
    <t>ア、1段目減速（ i1 ）</t>
    <rPh sb="3" eb="5">
      <t>ダンメ</t>
    </rPh>
    <rPh sb="5" eb="7">
      <t>ゲンソク</t>
    </rPh>
    <phoneticPr fontId="2"/>
  </si>
  <si>
    <t>イ、２段目減速（ i２　）</t>
    <rPh sb="3" eb="5">
      <t>ダンメ</t>
    </rPh>
    <rPh sb="5" eb="7">
      <t>ゲンソク</t>
    </rPh>
    <phoneticPr fontId="2"/>
  </si>
  <si>
    <t>1-2)構造の概略</t>
    <rPh sb="4" eb="6">
      <t>コウゾウ</t>
    </rPh>
    <rPh sb="7" eb="9">
      <t>ガイリャク</t>
    </rPh>
    <phoneticPr fontId="2"/>
  </si>
  <si>
    <t>キー溝高さ(50～55では・・5.5mm)</t>
    <rPh sb="2" eb="3">
      <t>ミゾ</t>
    </rPh>
    <rPh sb="3" eb="4">
      <t>タカ</t>
    </rPh>
    <phoneticPr fontId="2"/>
  </si>
  <si>
    <t>1段目(ＳⅠ）</t>
    <rPh sb="1" eb="3">
      <t>ダンメ</t>
    </rPh>
    <phoneticPr fontId="2"/>
  </si>
  <si>
    <t>S３５C～S４０C</t>
  </si>
  <si>
    <t>(参考・・機械工学便覧より）</t>
    <rPh sb="1" eb="3">
      <t>サンコウ</t>
    </rPh>
    <rPh sb="5" eb="7">
      <t>キカイ</t>
    </rPh>
    <rPh sb="7" eb="9">
      <t>コウガク</t>
    </rPh>
    <rPh sb="9" eb="11">
      <t>ビンラン</t>
    </rPh>
    <phoneticPr fontId="2"/>
  </si>
  <si>
    <t>２.Vベルト伝動</t>
    <rPh sb="6" eb="8">
      <t>デンドウ</t>
    </rPh>
    <phoneticPr fontId="2"/>
  </si>
  <si>
    <t>３、軸径の決定</t>
    <rPh sb="2" eb="3">
      <t>ジク</t>
    </rPh>
    <rPh sb="3" eb="4">
      <t>ケイ</t>
    </rPh>
    <rPh sb="5" eb="7">
      <t>ケッテイ</t>
    </rPh>
    <phoneticPr fontId="2"/>
  </si>
  <si>
    <t>ア、ねじり強さ</t>
    <rPh sb="5" eb="6">
      <t>ツヨ</t>
    </rPh>
    <phoneticPr fontId="2"/>
  </si>
  <si>
    <t>イ、ねじり剛性</t>
    <rPh sb="5" eb="7">
      <t>ゴウセイ</t>
    </rPh>
    <phoneticPr fontId="2"/>
  </si>
  <si>
    <t>ウ、軸径の決定</t>
    <rPh sb="2" eb="3">
      <t>ジク</t>
    </rPh>
    <rPh sb="3" eb="4">
      <t>ケイ</t>
    </rPh>
    <rPh sb="5" eb="7">
      <t>ケッテイ</t>
    </rPh>
    <phoneticPr fontId="2"/>
  </si>
  <si>
    <t>３段目の軸径(SⅢ）</t>
  </si>
  <si>
    <t>２段目の軸径(SⅡ）</t>
    <rPh sb="1" eb="2">
      <t>ダン</t>
    </rPh>
    <phoneticPr fontId="2"/>
  </si>
  <si>
    <t>注）Z1＝ピッチ円直径(d）/m　、　Z2＝U＊Z1</t>
    <rPh sb="0" eb="1">
      <t>チュウ</t>
    </rPh>
    <rPh sb="8" eb="9">
      <t>エン</t>
    </rPh>
    <rPh sb="9" eb="11">
      <t>チョッケイ</t>
    </rPh>
    <phoneticPr fontId="2"/>
  </si>
  <si>
    <t>４、平歯車の設計</t>
    <rPh sb="2" eb="5">
      <t>ヒラハグルマ</t>
    </rPh>
    <rPh sb="6" eb="8">
      <t>セッケイ</t>
    </rPh>
    <phoneticPr fontId="2"/>
  </si>
  <si>
    <t>２）モジュールと歯数の仮定</t>
    <rPh sb="8" eb="9">
      <t>ハ</t>
    </rPh>
    <rPh sb="9" eb="10">
      <t>カズ</t>
    </rPh>
    <rPh sb="11" eb="13">
      <t>カテイ</t>
    </rPh>
    <phoneticPr fontId="2"/>
  </si>
  <si>
    <t>３）小歯車の強度検討</t>
    <rPh sb="2" eb="5">
      <t>ショウハグルマ</t>
    </rPh>
    <rPh sb="6" eb="8">
      <t>キョウド</t>
    </rPh>
    <rPh sb="8" eb="10">
      <t>ケントウ</t>
    </rPh>
    <phoneticPr fontId="2"/>
  </si>
  <si>
    <t>ｱ、歯の曲げ強さによるは幅の検討</t>
    <rPh sb="2" eb="3">
      <t>ハ</t>
    </rPh>
    <rPh sb="4" eb="5">
      <t>マ</t>
    </rPh>
    <rPh sb="6" eb="7">
      <t>ツヨ</t>
    </rPh>
    <rPh sb="12" eb="13">
      <t>ハバ</t>
    </rPh>
    <rPh sb="14" eb="16">
      <t>ケントウ</t>
    </rPh>
    <phoneticPr fontId="2"/>
  </si>
  <si>
    <t>イ、歯面強さによるは幅の検討</t>
    <rPh sb="2" eb="3">
      <t>ハ</t>
    </rPh>
    <rPh sb="3" eb="4">
      <t>メン</t>
    </rPh>
    <rPh sb="4" eb="5">
      <t>ツヨ</t>
    </rPh>
    <rPh sb="10" eb="11">
      <t>ハバ</t>
    </rPh>
    <rPh sb="12" eb="14">
      <t>ケントウ</t>
    </rPh>
    <phoneticPr fontId="2"/>
  </si>
  <si>
    <t>４）大歯車</t>
    <rPh sb="2" eb="3">
      <t>ダイ</t>
    </rPh>
    <rPh sb="3" eb="5">
      <t>ハグルマ</t>
    </rPh>
    <phoneticPr fontId="2"/>
  </si>
  <si>
    <t>＊小歯車の軸径　d１＝</t>
    <rPh sb="1" eb="4">
      <t>ショウハグルマ</t>
    </rPh>
    <rPh sb="5" eb="6">
      <t>ジク</t>
    </rPh>
    <rPh sb="6" eb="7">
      <t>ケイ</t>
    </rPh>
    <phoneticPr fontId="2"/>
  </si>
  <si>
    <t>＊大歯車の軸径　d2＝　</t>
    <rPh sb="1" eb="2">
      <t>ダイ</t>
    </rPh>
    <rPh sb="2" eb="4">
      <t>ハグルマ</t>
    </rPh>
    <rPh sb="5" eb="6">
      <t>ジク</t>
    </rPh>
    <rPh sb="6" eb="7">
      <t>ケイ</t>
    </rPh>
    <phoneticPr fontId="2"/>
  </si>
  <si>
    <t>ア、大歯車の強度検討</t>
    <rPh sb="2" eb="3">
      <t>ダイ</t>
    </rPh>
    <rPh sb="3" eb="5">
      <t>ハグルマ</t>
    </rPh>
    <rPh sb="6" eb="8">
      <t>キョウド</t>
    </rPh>
    <rPh sb="8" eb="10">
      <t>ケントウ</t>
    </rPh>
    <phoneticPr fontId="2"/>
  </si>
  <si>
    <t>ア）歯の曲げ強さによるは幅の検討</t>
    <rPh sb="2" eb="3">
      <t>ハ</t>
    </rPh>
    <rPh sb="4" eb="5">
      <t>マ</t>
    </rPh>
    <rPh sb="6" eb="7">
      <t>ツヨ</t>
    </rPh>
    <rPh sb="12" eb="13">
      <t>ハバ</t>
    </rPh>
    <rPh sb="14" eb="16">
      <t>ケントウ</t>
    </rPh>
    <phoneticPr fontId="2"/>
  </si>
  <si>
    <t>イ）歯面強さによるは幅の検討</t>
    <rPh sb="2" eb="3">
      <t>ハ</t>
    </rPh>
    <rPh sb="3" eb="4">
      <t>メン</t>
    </rPh>
    <rPh sb="4" eb="5">
      <t>ツヨ</t>
    </rPh>
    <rPh sb="10" eb="11">
      <t>ハバ</t>
    </rPh>
    <rPh sb="12" eb="14">
      <t>ケントウ</t>
    </rPh>
    <phoneticPr fontId="2"/>
  </si>
  <si>
    <t>歯車のピッチ円直径を最小軸径の2.5倍程度とすれば</t>
    <rPh sb="0" eb="2">
      <t>ハグルマ</t>
    </rPh>
    <rPh sb="6" eb="7">
      <t>エン</t>
    </rPh>
    <rPh sb="7" eb="9">
      <t>チョッケイ</t>
    </rPh>
    <rPh sb="10" eb="12">
      <t>サイショウ</t>
    </rPh>
    <rPh sb="12" eb="13">
      <t>ジク</t>
    </rPh>
    <rPh sb="13" eb="14">
      <t>ケイ</t>
    </rPh>
    <rPh sb="18" eb="19">
      <t>バイ</t>
    </rPh>
    <rPh sb="19" eb="21">
      <t>テイド</t>
    </rPh>
    <phoneticPr fontId="2"/>
  </si>
  <si>
    <t>10時間/日程度の運転なので、歯面強さを重視する。</t>
    <rPh sb="2" eb="4">
      <t>ジカン</t>
    </rPh>
    <rPh sb="5" eb="6">
      <t>ニチ</t>
    </rPh>
    <rPh sb="6" eb="8">
      <t>テイド</t>
    </rPh>
    <rPh sb="9" eb="11">
      <t>ウンテン</t>
    </rPh>
    <rPh sb="15" eb="16">
      <t>ハ</t>
    </rPh>
    <rPh sb="16" eb="17">
      <t>メン</t>
    </rPh>
    <rPh sb="17" eb="18">
      <t>ツヨ</t>
    </rPh>
    <rPh sb="20" eb="22">
      <t>ジュウシ</t>
    </rPh>
    <phoneticPr fontId="2"/>
  </si>
  <si>
    <t>外径(dm）</t>
    <rPh sb="0" eb="1">
      <t>ガイ</t>
    </rPh>
    <rPh sb="1" eb="2">
      <t>ケイ</t>
    </rPh>
    <phoneticPr fontId="2"/>
  </si>
  <si>
    <t>製作</t>
    <rPh sb="0" eb="2">
      <t>セイサク</t>
    </rPh>
    <phoneticPr fontId="2"/>
  </si>
  <si>
    <t>とすれば</t>
  </si>
  <si>
    <t>mm　とする。</t>
  </si>
  <si>
    <t>k=6</t>
    <phoneticPr fontId="2"/>
  </si>
  <si>
    <t>k=10</t>
    <phoneticPr fontId="2"/>
  </si>
  <si>
    <t>細幅</t>
    <rPh sb="0" eb="1">
      <t>ホソ</t>
    </rPh>
    <rPh sb="1" eb="2">
      <t>ハバ</t>
    </rPh>
    <phoneticPr fontId="2"/>
  </si>
  <si>
    <t>並幅</t>
    <rPh sb="0" eb="2">
      <t>ナミハバ</t>
    </rPh>
    <phoneticPr fontId="2"/>
  </si>
  <si>
    <t>B3</t>
  </si>
  <si>
    <t>B4</t>
  </si>
  <si>
    <t>L＝</t>
  </si>
  <si>
    <t>＝</t>
  </si>
  <si>
    <t>C＝</t>
  </si>
  <si>
    <t>W=</t>
  </si>
  <si>
    <t>（C/W)^(10/3)</t>
  </si>
  <si>
    <t>L０＝</t>
  </si>
  <si>
    <t>L</t>
  </si>
  <si>
    <t>ｈ</t>
  </si>
  <si>
    <t>n*６０</t>
  </si>
  <si>
    <t>n＝</t>
  </si>
  <si>
    <t>L0＝</t>
  </si>
  <si>
    <t>：荷重(N)</t>
    <rPh sb="1" eb="3">
      <t>カジュウ</t>
    </rPh>
    <phoneticPr fontId="2"/>
  </si>
  <si>
    <t>L0＊n*６０/10^6</t>
  </si>
  <si>
    <t>1日の稼動時間</t>
    <rPh sb="1" eb="2">
      <t>ニチ</t>
    </rPh>
    <rPh sb="3" eb="5">
      <t>カドウ</t>
    </rPh>
    <rPh sb="5" eb="7">
      <t>ジカン</t>
    </rPh>
    <phoneticPr fontId="2"/>
  </si>
  <si>
    <t>年間稼動日数</t>
    <rPh sb="0" eb="1">
      <t>ネン</t>
    </rPh>
    <rPh sb="1" eb="2">
      <t>カン</t>
    </rPh>
    <rPh sb="2" eb="4">
      <t>カドウ</t>
    </rPh>
    <rPh sb="4" eb="6">
      <t>ニッスウ</t>
    </rPh>
    <phoneticPr fontId="2"/>
  </si>
  <si>
    <t>日</t>
    <rPh sb="0" eb="1">
      <t>ニチ</t>
    </rPh>
    <phoneticPr fontId="2"/>
  </si>
  <si>
    <t>計画寿命</t>
    <rPh sb="0" eb="2">
      <t>ケイカク</t>
    </rPh>
    <rPh sb="2" eb="4">
      <t>ジュミョウ</t>
    </rPh>
    <phoneticPr fontId="2"/>
  </si>
  <si>
    <t>年</t>
    <rPh sb="0" eb="1">
      <t>ネン</t>
    </rPh>
    <phoneticPr fontId="2"/>
  </si>
  <si>
    <t>Ｌ０＝</t>
    <phoneticPr fontId="2"/>
  </si>
  <si>
    <t>h</t>
    <phoneticPr fontId="2"/>
  </si>
  <si>
    <t>10^6回転</t>
    <rPh sb="4" eb="6">
      <t>カイテン</t>
    </rPh>
    <phoneticPr fontId="2"/>
  </si>
  <si>
    <t>4) 歯幅の決定</t>
    <rPh sb="3" eb="4">
      <t>ハ</t>
    </rPh>
    <rPh sb="4" eb="5">
      <t>ハバ</t>
    </rPh>
    <rPh sb="6" eb="8">
      <t>ケッテイ</t>
    </rPh>
    <phoneticPr fontId="2"/>
  </si>
  <si>
    <t>(参）</t>
    <rPh sb="1" eb="2">
      <t>サン</t>
    </rPh>
    <phoneticPr fontId="2"/>
  </si>
  <si>
    <t>ｋ＝８</t>
    <phoneticPr fontId="2"/>
  </si>
  <si>
    <t>今回は、大歯車、小歯車共に、同じ歯幅とした。</t>
    <rPh sb="0" eb="2">
      <t>コンカイ</t>
    </rPh>
    <rPh sb="4" eb="5">
      <t>オオ</t>
    </rPh>
    <rPh sb="5" eb="7">
      <t>ハグルマ</t>
    </rPh>
    <rPh sb="8" eb="11">
      <t>ショウハグルマ</t>
    </rPh>
    <rPh sb="11" eb="12">
      <t>トモ</t>
    </rPh>
    <rPh sb="14" eb="15">
      <t>オナ</t>
    </rPh>
    <rPh sb="16" eb="17">
      <t>ハ</t>
    </rPh>
    <rPh sb="17" eb="18">
      <t>ハバ</t>
    </rPh>
    <phoneticPr fontId="2"/>
  </si>
  <si>
    <t>τ＝</t>
    <phoneticPr fontId="2"/>
  </si>
  <si>
    <t>＝</t>
    <phoneticPr fontId="2"/>
  </si>
  <si>
    <t>mm</t>
    <phoneticPr fontId="2"/>
  </si>
  <si>
    <t>π＊ｄ＊n</t>
    <phoneticPr fontId="2"/>
  </si>
  <si>
    <t>１０００＊６０</t>
    <phoneticPr fontId="2"/>
  </si>
  <si>
    <t>1000Ｐ</t>
    <phoneticPr fontId="2"/>
  </si>
  <si>
    <t>V</t>
    <phoneticPr fontId="2"/>
  </si>
  <si>
    <t>Ｖ(m/s)＝</t>
    <phoneticPr fontId="2"/>
  </si>
  <si>
    <t>A＝</t>
    <phoneticPr fontId="2"/>
  </si>
  <si>
    <t>π＊b^2</t>
    <phoneticPr fontId="2"/>
  </si>
  <si>
    <t>＋</t>
    <phoneticPr fontId="2"/>
  </si>
  <si>
    <t>（　Ｌ－２＊ｂ）＊ｂ</t>
    <phoneticPr fontId="2"/>
  </si>
  <si>
    <t>キーに働くせん断応力</t>
    <rPh sb="3" eb="4">
      <t>ハタラ</t>
    </rPh>
    <rPh sb="7" eb="8">
      <t>ダン</t>
    </rPh>
    <rPh sb="8" eb="10">
      <t>オウリョク</t>
    </rPh>
    <phoneticPr fontId="2"/>
  </si>
  <si>
    <t>（１：両丸形、２：片丸形３：角形）</t>
    <rPh sb="3" eb="4">
      <t>リョウ</t>
    </rPh>
    <rPh sb="4" eb="5">
      <t>マル</t>
    </rPh>
    <rPh sb="5" eb="6">
      <t>カタ</t>
    </rPh>
    <rPh sb="9" eb="10">
      <t>カタ</t>
    </rPh>
    <rPh sb="10" eb="11">
      <t>マル</t>
    </rPh>
    <rPh sb="11" eb="12">
      <t>カタ</t>
    </rPh>
    <rPh sb="14" eb="15">
      <t>カク</t>
    </rPh>
    <rPh sb="15" eb="16">
      <t>ガタ</t>
    </rPh>
    <phoneticPr fontId="2"/>
  </si>
  <si>
    <t>ア、両丸形（種別：１）</t>
    <rPh sb="2" eb="3">
      <t>リョウ</t>
    </rPh>
    <rPh sb="3" eb="4">
      <t>マル</t>
    </rPh>
    <rPh sb="4" eb="5">
      <t>ガタ</t>
    </rPh>
    <rPh sb="6" eb="8">
      <t>シュベツ</t>
    </rPh>
    <phoneticPr fontId="2"/>
  </si>
  <si>
    <t>ウ、角形（種別：３）</t>
    <rPh sb="2" eb="3">
      <t>カク</t>
    </rPh>
    <rPh sb="3" eb="4">
      <t>カタ</t>
    </rPh>
    <rPh sb="5" eb="7">
      <t>シュベツ</t>
    </rPh>
    <phoneticPr fontId="2"/>
  </si>
  <si>
    <t>イ、片丸形(種別：２）</t>
    <rPh sb="2" eb="3">
      <t>カタ</t>
    </rPh>
    <rPh sb="3" eb="4">
      <t>マル</t>
    </rPh>
    <rPh sb="4" eb="5">
      <t>カタ</t>
    </rPh>
    <rPh sb="6" eb="8">
      <t>シュベツ</t>
    </rPh>
    <phoneticPr fontId="2"/>
  </si>
  <si>
    <t>（　Ｌ－ｂ）＊ｂ</t>
    <phoneticPr fontId="2"/>
  </si>
  <si>
    <t>ｂ＊L</t>
    <phoneticPr fontId="2"/>
  </si>
  <si>
    <t>Ｗ(N)＝</t>
    <phoneticPr fontId="2"/>
  </si>
  <si>
    <t>ｎ =</t>
    <phoneticPr fontId="2"/>
  </si>
  <si>
    <t>b =</t>
    <phoneticPr fontId="2"/>
  </si>
  <si>
    <t>Ｐ =</t>
    <phoneticPr fontId="2"/>
  </si>
  <si>
    <t>Ｌ =</t>
    <phoneticPr fontId="2"/>
  </si>
  <si>
    <t>d ＝</t>
    <phoneticPr fontId="2"/>
  </si>
  <si>
    <t>mm^2</t>
    <phoneticPr fontId="2"/>
  </si>
  <si>
    <t>1)キーの種別</t>
    <rPh sb="5" eb="7">
      <t>シュベツ</t>
    </rPh>
    <phoneticPr fontId="2"/>
  </si>
  <si>
    <t>ア、軸の材質</t>
    <rPh sb="2" eb="3">
      <t>ジク</t>
    </rPh>
    <rPh sb="4" eb="6">
      <t>ザイシツ</t>
    </rPh>
    <phoneticPr fontId="2"/>
  </si>
  <si>
    <t>〔捩り、繰返し荷重）</t>
    <rPh sb="1" eb="2">
      <t>ネジ</t>
    </rPh>
    <rPh sb="4" eb="6">
      <t>クリカエ</t>
    </rPh>
    <rPh sb="7" eb="9">
      <t>カジュウ</t>
    </rPh>
    <phoneticPr fontId="2"/>
  </si>
  <si>
    <t>小歯車用</t>
    <rPh sb="0" eb="1">
      <t>ショウ</t>
    </rPh>
    <rPh sb="1" eb="3">
      <t>ハグルマ</t>
    </rPh>
    <rPh sb="3" eb="4">
      <t>ヨウ</t>
    </rPh>
    <phoneticPr fontId="2"/>
  </si>
  <si>
    <t>大歯車用</t>
    <rPh sb="0" eb="1">
      <t>オオ</t>
    </rPh>
    <rPh sb="1" eb="3">
      <t>ハグルマ</t>
    </rPh>
    <rPh sb="3" eb="4">
      <t>ヨウ</t>
    </rPh>
    <phoneticPr fontId="2"/>
  </si>
  <si>
    <t>細幅Ｖベルト、1本</t>
    <rPh sb="0" eb="1">
      <t>ホソ</t>
    </rPh>
    <rPh sb="1" eb="2">
      <t>ハバ</t>
    </rPh>
    <rPh sb="8" eb="9">
      <t>ホン</t>
    </rPh>
    <phoneticPr fontId="2"/>
  </si>
  <si>
    <t>小プーリ(3V1)</t>
    <rPh sb="0" eb="1">
      <t>ショウ</t>
    </rPh>
    <phoneticPr fontId="2"/>
  </si>
  <si>
    <t>大プーリ(3V1)</t>
    <rPh sb="0" eb="1">
      <t>オオ</t>
    </rPh>
    <phoneticPr fontId="2"/>
  </si>
  <si>
    <t>ボス部幅</t>
    <rPh sb="2" eb="3">
      <t>ブ</t>
    </rPh>
    <rPh sb="3" eb="4">
      <t>ハバ</t>
    </rPh>
    <phoneticPr fontId="2"/>
  </si>
  <si>
    <t>ボス部径</t>
    <rPh sb="2" eb="3">
      <t>ブ</t>
    </rPh>
    <rPh sb="3" eb="4">
      <t>ケイ</t>
    </rPh>
    <phoneticPr fontId="2"/>
  </si>
  <si>
    <t>リム部幅</t>
    <rPh sb="2" eb="3">
      <t>ブ</t>
    </rPh>
    <rPh sb="3" eb="4">
      <t>ハバ</t>
    </rPh>
    <phoneticPr fontId="2"/>
  </si>
  <si>
    <t>T1=</t>
    <phoneticPr fontId="2"/>
  </si>
  <si>
    <t>F*</t>
    <phoneticPr fontId="2"/>
  </si>
  <si>
    <t>eμ'θ</t>
    <phoneticPr fontId="2"/>
  </si>
  <si>
    <t>eμ'θ-1</t>
    <phoneticPr fontId="2"/>
  </si>
  <si>
    <t>θ：接触角（ラジアン）</t>
    <rPh sb="2" eb="4">
      <t>セッショク</t>
    </rPh>
    <rPh sb="4" eb="5">
      <t>カク</t>
    </rPh>
    <phoneticPr fontId="2"/>
  </si>
  <si>
    <t>μ’=見かけの摩擦係数</t>
    <rPh sb="3" eb="4">
      <t>ミ</t>
    </rPh>
    <rPh sb="7" eb="9">
      <t>マサツ</t>
    </rPh>
    <rPh sb="9" eb="11">
      <t>ケイスウ</t>
    </rPh>
    <phoneticPr fontId="2"/>
  </si>
  <si>
    <t>μ=ベルトの摩擦係数０．２５</t>
    <rPh sb="6" eb="8">
      <t>マサツ</t>
    </rPh>
    <rPh sb="8" eb="10">
      <t>ケイスウ</t>
    </rPh>
    <phoneticPr fontId="2"/>
  </si>
  <si>
    <t>μ’=μ/SIN（α/2)</t>
    <phoneticPr fontId="2"/>
  </si>
  <si>
    <t>=0.25/SIN(40/2)</t>
    <phoneticPr fontId="2"/>
  </si>
  <si>
    <t>α=Vベルトの溝角度</t>
    <rPh sb="7" eb="8">
      <t>ミゾ</t>
    </rPh>
    <rPh sb="8" eb="10">
      <t>カクド</t>
    </rPh>
    <phoneticPr fontId="2"/>
  </si>
  <si>
    <t>F=</t>
    <phoneticPr fontId="2"/>
  </si>
  <si>
    <t>P</t>
    <phoneticPr fontId="2"/>
  </si>
  <si>
    <t>v</t>
    <phoneticPr fontId="2"/>
  </si>
  <si>
    <t>=</t>
    <phoneticPr fontId="2"/>
  </si>
  <si>
    <t>４０°</t>
    <phoneticPr fontId="2"/>
  </si>
  <si>
    <t>n２（大プーリの回転速度）</t>
    <rPh sb="3" eb="4">
      <t>ダイ</t>
    </rPh>
    <rPh sb="8" eb="10">
      <t>カイテン</t>
    </rPh>
    <rPh sb="10" eb="12">
      <t>ソクド</t>
    </rPh>
    <phoneticPr fontId="2"/>
  </si>
  <si>
    <t>rpm</t>
    <phoneticPr fontId="2"/>
  </si>
  <si>
    <t>Ｄm２（大プーリのピッチ径）</t>
    <rPh sb="4" eb="5">
      <t>ダイ</t>
    </rPh>
    <rPh sb="12" eb="13">
      <t>ケイ</t>
    </rPh>
    <phoneticPr fontId="2"/>
  </si>
  <si>
    <t>Ｐ＝伝達動力</t>
    <rPh sb="2" eb="4">
      <t>デンタツ</t>
    </rPh>
    <rPh sb="4" eb="6">
      <t>ドウリョク</t>
    </rPh>
    <phoneticPr fontId="2"/>
  </si>
  <si>
    <t>mm</t>
    <phoneticPr fontId="2"/>
  </si>
  <si>
    <t>1.5*1000</t>
    <phoneticPr fontId="2"/>
  </si>
  <si>
    <t>θ=</t>
    <phoneticPr fontId="2"/>
  </si>
  <si>
    <t>＝</t>
    <phoneticPr fontId="2"/>
  </si>
  <si>
    <t>150°</t>
    <phoneticPr fontId="2"/>
  </si>
  <si>
    <t>e0.731*2.618</t>
    <phoneticPr fontId="2"/>
  </si>
  <si>
    <t>e0.731*2.618-1</t>
    <phoneticPr fontId="2"/>
  </si>
  <si>
    <t>T2=</t>
  </si>
  <si>
    <t>T1=</t>
    <phoneticPr fontId="2"/>
  </si>
  <si>
    <t>(引張り側張力）</t>
    <rPh sb="1" eb="3">
      <t>ヒッパ</t>
    </rPh>
    <rPh sb="4" eb="5">
      <t>ガワ</t>
    </rPh>
    <rPh sb="5" eb="7">
      <t>チョウリョク</t>
    </rPh>
    <phoneticPr fontId="2"/>
  </si>
  <si>
    <t>(弛み側張力）</t>
    <rPh sb="1" eb="2">
      <t>ユル</t>
    </rPh>
    <rPh sb="3" eb="4">
      <t>ガワ</t>
    </rPh>
    <rPh sb="4" eb="6">
      <t>チョウリョク</t>
    </rPh>
    <phoneticPr fontId="2"/>
  </si>
  <si>
    <t>軸受</t>
    <rPh sb="0" eb="2">
      <t>ジクウケ</t>
    </rPh>
    <phoneticPr fontId="2"/>
  </si>
  <si>
    <t>B1</t>
    <phoneticPr fontId="2"/>
  </si>
  <si>
    <t>B2</t>
    <phoneticPr fontId="2"/>
  </si>
  <si>
    <t>ベルト伝動による荷重</t>
    <rPh sb="3" eb="5">
      <t>デンドウ</t>
    </rPh>
    <rPh sb="8" eb="10">
      <t>カジュウ</t>
    </rPh>
    <phoneticPr fontId="2"/>
  </si>
  <si>
    <t>歯車伝動による荷重</t>
    <rPh sb="0" eb="2">
      <t>ハグルマ</t>
    </rPh>
    <rPh sb="2" eb="4">
      <t>デンドウ</t>
    </rPh>
    <rPh sb="7" eb="9">
      <t>カジュウ</t>
    </rPh>
    <phoneticPr fontId="2"/>
  </si>
  <si>
    <t>合　　力</t>
    <rPh sb="0" eb="1">
      <t>ゴウ</t>
    </rPh>
    <rPh sb="3" eb="4">
      <t>チカラ</t>
    </rPh>
    <phoneticPr fontId="2"/>
  </si>
  <si>
    <t>Vプーリ重量</t>
    <rPh sb="4" eb="6">
      <t>ジュウリョウ</t>
    </rPh>
    <phoneticPr fontId="2"/>
  </si>
  <si>
    <t>1,Vプーリに発生する荷重(N)</t>
    <rPh sb="7" eb="9">
      <t>ハッセイ</t>
    </rPh>
    <rPh sb="11" eb="13">
      <t>カジュウ</t>
    </rPh>
    <phoneticPr fontId="2"/>
  </si>
  <si>
    <t>2,歯車に発生する荷重</t>
    <rPh sb="2" eb="3">
      <t>ハ</t>
    </rPh>
    <rPh sb="3" eb="4">
      <t>クルマ</t>
    </rPh>
    <rPh sb="5" eb="7">
      <t>ハッセイ</t>
    </rPh>
    <rPh sb="9" eb="11">
      <t>カジュウ</t>
    </rPh>
    <phoneticPr fontId="2"/>
  </si>
  <si>
    <t>Fn=</t>
    <phoneticPr fontId="2"/>
  </si>
  <si>
    <t>F</t>
    <phoneticPr fontId="2"/>
  </si>
  <si>
    <t>COS20</t>
    <phoneticPr fontId="2"/>
  </si>
  <si>
    <t>合   力</t>
    <rPh sb="0" eb="1">
      <t>ゴウ</t>
    </rPh>
    <rPh sb="4" eb="5">
      <t>チカラ</t>
    </rPh>
    <phoneticPr fontId="2"/>
  </si>
  <si>
    <t>3,荷重分配</t>
    <rPh sb="2" eb="4">
      <t>カジュウ</t>
    </rPh>
    <rPh sb="4" eb="6">
      <t>ブンパイ</t>
    </rPh>
    <phoneticPr fontId="2"/>
  </si>
  <si>
    <t>軸受部軸径</t>
    <rPh sb="0" eb="2">
      <t>ジクウ</t>
    </rPh>
    <rPh sb="2" eb="3">
      <t>ブ</t>
    </rPh>
    <rPh sb="3" eb="4">
      <t>ジク</t>
    </rPh>
    <rPh sb="4" eb="5">
      <t>ケイ</t>
    </rPh>
    <phoneticPr fontId="2"/>
  </si>
  <si>
    <t>6908ZZ</t>
    <phoneticPr fontId="2"/>
  </si>
  <si>
    <t>呼び番号</t>
    <rPh sb="0" eb="1">
      <t>ヨ</t>
    </rPh>
    <rPh sb="2" eb="4">
      <t>バンゴウ</t>
    </rPh>
    <phoneticPr fontId="2"/>
  </si>
  <si>
    <t>外径(D）</t>
    <rPh sb="0" eb="1">
      <t>ガイ</t>
    </rPh>
    <rPh sb="1" eb="2">
      <t>ケイ</t>
    </rPh>
    <phoneticPr fontId="2"/>
  </si>
  <si>
    <t>幅（B）</t>
    <rPh sb="0" eb="1">
      <t>ハバ</t>
    </rPh>
    <phoneticPr fontId="2"/>
  </si>
  <si>
    <t>基本動定格荷重</t>
    <rPh sb="0" eb="2">
      <t>キホン</t>
    </rPh>
    <rPh sb="2" eb="3">
      <t>ドウ</t>
    </rPh>
    <rPh sb="3" eb="5">
      <t>テイカク</t>
    </rPh>
    <rPh sb="5" eb="7">
      <t>カジュウ</t>
    </rPh>
    <phoneticPr fontId="2"/>
  </si>
  <si>
    <t>6911ZZ</t>
    <phoneticPr fontId="2"/>
  </si>
  <si>
    <t>φda</t>
    <phoneticPr fontId="2"/>
  </si>
  <si>
    <t>外径(D3）</t>
    <rPh sb="0" eb="1">
      <t>ガイ</t>
    </rPh>
    <rPh sb="1" eb="2">
      <t>ケイ</t>
    </rPh>
    <phoneticPr fontId="2"/>
  </si>
  <si>
    <t>ｒ</t>
    <phoneticPr fontId="2"/>
  </si>
  <si>
    <t>AW08</t>
    <phoneticPr fontId="2"/>
  </si>
  <si>
    <t>AW11</t>
    <phoneticPr fontId="2"/>
  </si>
  <si>
    <t>外径(D5）</t>
    <rPh sb="0" eb="1">
      <t>ガイ</t>
    </rPh>
    <rPh sb="1" eb="2">
      <t>ケイ</t>
    </rPh>
    <phoneticPr fontId="2"/>
  </si>
  <si>
    <t>厚み（ｔ）</t>
    <rPh sb="0" eb="1">
      <t>アツ</t>
    </rPh>
    <phoneticPr fontId="2"/>
  </si>
  <si>
    <t>舌幅（E）</t>
    <rPh sb="0" eb="1">
      <t>シタ</t>
    </rPh>
    <rPh sb="1" eb="2">
      <t>ハバ</t>
    </rPh>
    <phoneticPr fontId="2"/>
  </si>
  <si>
    <t>溝幅(b)</t>
    <rPh sb="0" eb="1">
      <t>ミゾ</t>
    </rPh>
    <rPh sb="1" eb="2">
      <t>ハバ</t>
    </rPh>
    <phoneticPr fontId="2"/>
  </si>
  <si>
    <t>溝高さ(ｈ)</t>
    <rPh sb="0" eb="1">
      <t>ミゾ</t>
    </rPh>
    <rPh sb="1" eb="2">
      <t>タカ</t>
    </rPh>
    <phoneticPr fontId="2"/>
  </si>
  <si>
    <t>溝長さ(L)</t>
    <rPh sb="0" eb="1">
      <t>ミゾ</t>
    </rPh>
    <rPh sb="1" eb="2">
      <t>ナガ</t>
    </rPh>
    <phoneticPr fontId="2"/>
  </si>
  <si>
    <t>舌高さ（ｋ）</t>
    <rPh sb="0" eb="1">
      <t>シタ</t>
    </rPh>
    <rPh sb="1" eb="2">
      <t>タカ</t>
    </rPh>
    <phoneticPr fontId="2"/>
  </si>
  <si>
    <t>歯車部軸径</t>
    <rPh sb="0" eb="2">
      <t>ハグルマ</t>
    </rPh>
    <rPh sb="2" eb="3">
      <t>ブ</t>
    </rPh>
    <rPh sb="3" eb="4">
      <t>ジク</t>
    </rPh>
    <rPh sb="4" eb="5">
      <t>ケイ</t>
    </rPh>
    <phoneticPr fontId="2"/>
  </si>
  <si>
    <t>ﾌﾟｰﾘ部軸径</t>
    <rPh sb="4" eb="5">
      <t>ブ</t>
    </rPh>
    <rPh sb="5" eb="6">
      <t>ジク</t>
    </rPh>
    <rPh sb="6" eb="7">
      <t>ケイ</t>
    </rPh>
    <phoneticPr fontId="2"/>
  </si>
  <si>
    <t>平キーの設計</t>
    <rPh sb="0" eb="1">
      <t>ヒラ</t>
    </rPh>
    <rPh sb="4" eb="6">
      <t>セッケイ</t>
    </rPh>
    <phoneticPr fontId="2"/>
  </si>
  <si>
    <t>F=b*L*τ</t>
  </si>
  <si>
    <t>T=</t>
  </si>
  <si>
    <t>W*ｄ</t>
  </si>
  <si>
    <t>=</t>
  </si>
  <si>
    <t>b*L*τ1*d</t>
  </si>
  <si>
    <t>τ2*π*d^3</t>
  </si>
  <si>
    <t>τ1</t>
  </si>
  <si>
    <t>τ2</t>
  </si>
  <si>
    <t>軸に働くせん断応力</t>
    <rPh sb="0" eb="1">
      <t>ジク</t>
    </rPh>
    <rPh sb="2" eb="3">
      <t>ハタラ</t>
    </rPh>
    <rPh sb="6" eb="7">
      <t>ダン</t>
    </rPh>
    <rPh sb="7" eb="9">
      <t>オウリョク</t>
    </rPh>
    <phoneticPr fontId="2"/>
  </si>
  <si>
    <t>また、平キーの外観上の条件である　L≧1.5dより</t>
    <rPh sb="3" eb="4">
      <t>ヒラ</t>
    </rPh>
    <rPh sb="7" eb="9">
      <t>ガイカン</t>
    </rPh>
    <rPh sb="9" eb="10">
      <t>ジョウ</t>
    </rPh>
    <rPh sb="11" eb="13">
      <t>ジョウケン</t>
    </rPh>
    <phoneticPr fontId="2"/>
  </si>
  <si>
    <t>b=</t>
  </si>
  <si>
    <t>π*ｄ</t>
  </si>
  <si>
    <t>≒</t>
  </si>
  <si>
    <t>d</t>
  </si>
  <si>
    <t>平キーに掛かる作用するせん断力Wは、平キーに掛かる側圧Pによる力Wと等しいと考える。</t>
    <rPh sb="0" eb="1">
      <t>タイ</t>
    </rPh>
    <rPh sb="4" eb="5">
      <t>カ</t>
    </rPh>
    <rPh sb="7" eb="9">
      <t>サヨウ</t>
    </rPh>
    <rPh sb="13" eb="14">
      <t>ダン</t>
    </rPh>
    <rPh sb="14" eb="15">
      <t>リョク</t>
    </rPh>
    <rPh sb="18" eb="19">
      <t>タイ</t>
    </rPh>
    <rPh sb="22" eb="23">
      <t>カ</t>
    </rPh>
    <rPh sb="25" eb="27">
      <t>ソクアツ</t>
    </rPh>
    <rPh sb="31" eb="32">
      <t>チカラ</t>
    </rPh>
    <rPh sb="34" eb="35">
      <t>ヒト</t>
    </rPh>
    <rPh sb="38" eb="39">
      <t>カンガ</t>
    </rPh>
    <phoneticPr fontId="2"/>
  </si>
  <si>
    <t>（ただし、キーは高さ半分でキー溝と接触していると考える。また経験的に　P=２τ２）</t>
    <rPh sb="8" eb="9">
      <t>タカ</t>
    </rPh>
    <rPh sb="10" eb="12">
      <t>ハンブン</t>
    </rPh>
    <rPh sb="15" eb="16">
      <t>ミゾ</t>
    </rPh>
    <rPh sb="17" eb="19">
      <t>セッショク</t>
    </rPh>
    <rPh sb="24" eb="25">
      <t>カンガ</t>
    </rPh>
    <rPh sb="30" eb="32">
      <t>ケイケン</t>
    </rPh>
    <rPh sb="32" eb="33">
      <t>テキ</t>
    </rPh>
    <phoneticPr fontId="2"/>
  </si>
  <si>
    <t>b*L*τ1</t>
  </si>
  <si>
    <t>h*L*P</t>
  </si>
  <si>
    <t>h=</t>
  </si>
  <si>
    <t>2*b*τ1</t>
  </si>
  <si>
    <t>一般的にキーと軸の関係では、キーが破損するように</t>
    <rPh sb="0" eb="2">
      <t>イッパン</t>
    </rPh>
    <rPh sb="2" eb="3">
      <t>テキ</t>
    </rPh>
    <rPh sb="7" eb="8">
      <t>ジク</t>
    </rPh>
    <rPh sb="9" eb="11">
      <t>カンケイ</t>
    </rPh>
    <rPh sb="17" eb="19">
      <t>ハソン</t>
    </rPh>
    <phoneticPr fontId="2"/>
  </si>
  <si>
    <t>P</t>
  </si>
  <si>
    <t>設計する。　'τ2≒1.25τ1　　またb≒d/4なので</t>
    <rPh sb="0" eb="2">
      <t>セッケイ</t>
    </rPh>
    <phoneticPr fontId="2"/>
  </si>
  <si>
    <t>0.8b</t>
  </si>
  <si>
    <t>ｄ</t>
  </si>
  <si>
    <t>2*1.25*τ1</t>
  </si>
  <si>
    <t>以上まとめると</t>
    <rPh sb="0" eb="2">
      <t>イジョウ</t>
    </rPh>
    <phoneticPr fontId="2"/>
  </si>
  <si>
    <t>軸径　ｄに適用する平キーの形状は、</t>
    <rPh sb="0" eb="1">
      <t>ジク</t>
    </rPh>
    <rPh sb="1" eb="2">
      <t>ケイ</t>
    </rPh>
    <rPh sb="5" eb="7">
      <t>テキヨウ</t>
    </rPh>
    <rPh sb="9" eb="10">
      <t>ヒラ</t>
    </rPh>
    <rPh sb="13" eb="15">
      <t>ケイジョウ</t>
    </rPh>
    <phoneticPr fontId="2"/>
  </si>
  <si>
    <t>ｂ=</t>
  </si>
  <si>
    <t>L≧</t>
  </si>
  <si>
    <t>1.5ｄ</t>
  </si>
  <si>
    <t>1,軸間キョリ</t>
    <rPh sb="2" eb="3">
      <t>ジク</t>
    </rPh>
    <rPh sb="3" eb="4">
      <t>カン</t>
    </rPh>
    <phoneticPr fontId="2"/>
  </si>
  <si>
    <t>１）電動機と入力軸</t>
    <rPh sb="2" eb="5">
      <t>デンドウキ</t>
    </rPh>
    <rPh sb="6" eb="8">
      <t>ニュウリョク</t>
    </rPh>
    <rPh sb="8" eb="9">
      <t>ジク</t>
    </rPh>
    <phoneticPr fontId="2"/>
  </si>
  <si>
    <t>Vプーリの項参照・・・</t>
    <rPh sb="5" eb="6">
      <t>コウ</t>
    </rPh>
    <rPh sb="6" eb="8">
      <t>サンショウ</t>
    </rPh>
    <phoneticPr fontId="2"/>
  </si>
  <si>
    <t>３１６ｍｍ</t>
    <phoneticPr fontId="2"/>
  </si>
  <si>
    <t>２）入力軸と出力軸</t>
    <rPh sb="2" eb="4">
      <t>ニュウリョク</t>
    </rPh>
    <rPh sb="4" eb="5">
      <t>ジク</t>
    </rPh>
    <rPh sb="6" eb="8">
      <t>シュツリョク</t>
    </rPh>
    <rPh sb="8" eb="9">
      <t>ジク</t>
    </rPh>
    <phoneticPr fontId="2"/>
  </si>
  <si>
    <t>歯車の項参照・・・・・・・</t>
    <rPh sb="0" eb="2">
      <t>ハグルマ</t>
    </rPh>
    <rPh sb="3" eb="4">
      <t>コウ</t>
    </rPh>
    <rPh sb="4" eb="6">
      <t>サンショウ</t>
    </rPh>
    <phoneticPr fontId="2"/>
  </si>
  <si>
    <t>234mm</t>
    <phoneticPr fontId="2"/>
  </si>
  <si>
    <t>２、最小軸径の決定</t>
    <rPh sb="2" eb="4">
      <t>サイショウ</t>
    </rPh>
    <rPh sb="4" eb="5">
      <t>ジク</t>
    </rPh>
    <rPh sb="5" eb="6">
      <t>ケイ</t>
    </rPh>
    <rPh sb="7" eb="9">
      <t>ケッテイ</t>
    </rPh>
    <phoneticPr fontId="2"/>
  </si>
  <si>
    <t>３,軸受選定</t>
    <rPh sb="2" eb="4">
      <t>ジクウ</t>
    </rPh>
    <rPh sb="4" eb="6">
      <t>センテイ</t>
    </rPh>
    <phoneticPr fontId="2"/>
  </si>
  <si>
    <t>５,軸受用座金選定</t>
    <rPh sb="2" eb="4">
      <t>ジクウ</t>
    </rPh>
    <rPh sb="4" eb="5">
      <t>ヨウ</t>
    </rPh>
    <rPh sb="5" eb="7">
      <t>ザガネ</t>
    </rPh>
    <rPh sb="7" eb="9">
      <t>センテイ</t>
    </rPh>
    <phoneticPr fontId="2"/>
  </si>
  <si>
    <t>４,軸受用ナット選定</t>
    <rPh sb="2" eb="4">
      <t>ジクウ</t>
    </rPh>
    <rPh sb="4" eb="5">
      <t>ヨウ</t>
    </rPh>
    <rPh sb="8" eb="10">
      <t>センテイ</t>
    </rPh>
    <phoneticPr fontId="2"/>
  </si>
  <si>
    <t>６,キ－溝</t>
    <rPh sb="4" eb="5">
      <t>ミゾ</t>
    </rPh>
    <phoneticPr fontId="2"/>
  </si>
  <si>
    <t>42（24.6)</t>
    <phoneticPr fontId="2"/>
  </si>
  <si>
    <t>28(10.6)</t>
    <phoneticPr fontId="2"/>
  </si>
  <si>
    <t>AN08</t>
    <phoneticPr fontId="2"/>
  </si>
  <si>
    <t>AN11</t>
    <phoneticPr fontId="2"/>
  </si>
  <si>
    <t>ﾋﾟｯﾁ</t>
    <phoneticPr fontId="2"/>
  </si>
</sst>
</file>

<file path=xl/styles.xml><?xml version="1.0" encoding="utf-8"?>
<styleSheet xmlns="http://schemas.openxmlformats.org/spreadsheetml/2006/main">
  <numFmts count="13">
    <numFmt numFmtId="176" formatCode="0_ "/>
    <numFmt numFmtId="177" formatCode="0.00_ "/>
    <numFmt numFmtId="178" formatCode="0.0_ "/>
    <numFmt numFmtId="179" formatCode="0;_က"/>
    <numFmt numFmtId="180" formatCode="&quot;a=&quot;#"/>
    <numFmt numFmtId="181" formatCode="0.0"/>
    <numFmt numFmtId="182" formatCode="#&quot;V&quot;"/>
    <numFmt numFmtId="183" formatCode="#&quot;N&quot;"/>
    <numFmt numFmtId="184" formatCode="#\ &quot;(計算値）&quot;"/>
    <numFmt numFmtId="185" formatCode="&quot;約&quot;#"/>
    <numFmt numFmtId="186" formatCode="&quot;U=&quot;#.00"/>
    <numFmt numFmtId="187" formatCode="&quot;φ&quot;#"/>
    <numFmt numFmtId="188" formatCode="&quot;=&quot;0.0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theme="3" tint="0.3999755851924192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7" fontId="0" fillId="2" borderId="0" xfId="0" applyNumberFormat="1" applyFill="1">
      <alignment vertical="center"/>
    </xf>
    <xf numFmtId="0" fontId="0" fillId="0" borderId="0" xfId="0" applyBorder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56" fontId="0" fillId="0" borderId="0" xfId="0" applyNumberForma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5" borderId="0" xfId="0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quotePrefix="1" applyFont="1">
      <alignment vertical="center"/>
    </xf>
    <xf numFmtId="0" fontId="9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0" fillId="0" borderId="0" xfId="0" quotePrefix="1" applyAlignment="1">
      <alignment vertical="center"/>
    </xf>
    <xf numFmtId="176" fontId="0" fillId="3" borderId="1" xfId="0" applyNumberForma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4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3" xfId="0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Font="1">
      <alignment vertical="center"/>
    </xf>
    <xf numFmtId="186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185" fontId="3" fillId="7" borderId="1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1" xfId="0" applyFill="1" applyBorder="1">
      <alignment vertical="center"/>
    </xf>
    <xf numFmtId="182" fontId="3" fillId="7" borderId="0" xfId="0" applyNumberFormat="1" applyFont="1" applyFill="1" applyAlignment="1">
      <alignment horizontal="center" vertical="center"/>
    </xf>
    <xf numFmtId="176" fontId="0" fillId="8" borderId="1" xfId="0" applyNumberForma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177" fontId="3" fillId="8" borderId="1" xfId="0" applyNumberFormat="1" applyFont="1" applyFill="1" applyBorder="1" applyAlignment="1">
      <alignment horizontal="center" vertical="center"/>
    </xf>
    <xf numFmtId="0" fontId="3" fillId="8" borderId="0" xfId="0" applyFont="1" applyFill="1">
      <alignment vertical="center"/>
    </xf>
    <xf numFmtId="0" fontId="3" fillId="8" borderId="1" xfId="0" applyFont="1" applyFill="1" applyBorder="1">
      <alignment vertical="center"/>
    </xf>
    <xf numFmtId="178" fontId="4" fillId="8" borderId="1" xfId="0" applyNumberFormat="1" applyFont="1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77" fontId="3" fillId="7" borderId="1" xfId="0" applyNumberFormat="1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78" fontId="4" fillId="8" borderId="1" xfId="0" applyNumberFormat="1" applyFont="1" applyFill="1" applyBorder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7" borderId="5" xfId="0" applyFill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178" fontId="4" fillId="2" borderId="0" xfId="0" applyNumberFormat="1" applyFont="1" applyFill="1" applyBorder="1">
      <alignment vertical="center"/>
    </xf>
    <xf numFmtId="176" fontId="3" fillId="9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188" fontId="0" fillId="0" borderId="0" xfId="0" applyNumberFormat="1">
      <alignment vertical="center"/>
    </xf>
    <xf numFmtId="0" fontId="0" fillId="10" borderId="1" xfId="0" applyFill="1" applyBorder="1">
      <alignment vertical="center"/>
    </xf>
    <xf numFmtId="181" fontId="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1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0" fillId="8" borderId="2" xfId="0" applyNumberFormat="1" applyFill="1" applyBorder="1" applyAlignment="1">
      <alignment horizontal="center" vertical="center"/>
    </xf>
    <xf numFmtId="176" fontId="0" fillId="8" borderId="14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8" borderId="10" xfId="0" applyNumberFormat="1" applyFill="1" applyBorder="1" applyAlignment="1">
      <alignment horizontal="center" vertical="center"/>
    </xf>
    <xf numFmtId="176" fontId="0" fillId="8" borderId="11" xfId="0" applyNumberFormat="1" applyFill="1" applyBorder="1" applyAlignment="1">
      <alignment horizontal="center" vertical="center"/>
    </xf>
    <xf numFmtId="176" fontId="0" fillId="8" borderId="12" xfId="0" applyNumberFormat="1" applyFill="1" applyBorder="1" applyAlignment="1">
      <alignment horizontal="center" vertical="center"/>
    </xf>
    <xf numFmtId="176" fontId="0" fillId="8" borderId="1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8" borderId="5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83" fontId="0" fillId="8" borderId="3" xfId="0" applyNumberFormat="1" applyFill="1" applyBorder="1" applyAlignment="1">
      <alignment horizontal="center" vertical="center"/>
    </xf>
    <xf numFmtId="177" fontId="0" fillId="7" borderId="2" xfId="0" applyNumberFormat="1" applyFill="1" applyBorder="1" applyAlignment="1">
      <alignment horizontal="center" vertical="center"/>
    </xf>
    <xf numFmtId="177" fontId="0" fillId="7" borderId="1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8" borderId="10" xfId="0" applyNumberFormat="1" applyFill="1" applyBorder="1" applyAlignment="1">
      <alignment horizontal="center" vertical="center"/>
    </xf>
    <xf numFmtId="178" fontId="0" fillId="8" borderId="11" xfId="0" applyNumberFormat="1" applyFill="1" applyBorder="1" applyAlignment="1">
      <alignment horizontal="center" vertical="center"/>
    </xf>
    <xf numFmtId="178" fontId="0" fillId="8" borderId="12" xfId="0" applyNumberFormat="1" applyFill="1" applyBorder="1" applyAlignment="1">
      <alignment horizontal="center" vertical="center"/>
    </xf>
    <xf numFmtId="178" fontId="0" fillId="8" borderId="13" xfId="0" applyNumberForma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77" fontId="0" fillId="8" borderId="2" xfId="0" applyNumberFormat="1" applyFill="1" applyBorder="1" applyAlignment="1">
      <alignment horizontal="center" vertical="center"/>
    </xf>
    <xf numFmtId="177" fontId="0" fillId="8" borderId="14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184" fontId="3" fillId="3" borderId="2" xfId="0" applyNumberFormat="1" applyFont="1" applyFill="1" applyBorder="1" applyAlignment="1">
      <alignment horizontal="center" vertical="center"/>
    </xf>
    <xf numFmtId="184" fontId="3" fillId="3" borderId="6" xfId="0" applyNumberFormat="1" applyFont="1" applyFill="1" applyBorder="1" applyAlignment="1">
      <alignment horizontal="center" vertical="center"/>
    </xf>
    <xf numFmtId="184" fontId="3" fillId="3" borderId="1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0" fillId="7" borderId="2" xfId="0" applyNumberFormat="1" applyFill="1" applyBorder="1" applyAlignment="1">
      <alignment horizontal="center" vertical="center"/>
    </xf>
    <xf numFmtId="176" fontId="0" fillId="7" borderId="14" xfId="0" applyNumberFormat="1" applyFill="1" applyBorder="1" applyAlignment="1">
      <alignment horizontal="center" vertical="center"/>
    </xf>
    <xf numFmtId="178" fontId="0" fillId="8" borderId="2" xfId="0" applyNumberFormat="1" applyFill="1" applyBorder="1" applyAlignment="1">
      <alignment horizontal="center" vertical="center"/>
    </xf>
    <xf numFmtId="178" fontId="0" fillId="8" borderId="14" xfId="0" applyNumberFormat="1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178" fontId="5" fillId="8" borderId="2" xfId="0" applyNumberFormat="1" applyFont="1" applyFill="1" applyBorder="1" applyAlignment="1">
      <alignment horizontal="center" vertical="center"/>
    </xf>
    <xf numFmtId="178" fontId="5" fillId="8" borderId="1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83" fontId="0" fillId="7" borderId="3" xfId="0" applyNumberForma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178" fontId="3" fillId="8" borderId="2" xfId="0" applyNumberFormat="1" applyFont="1" applyFill="1" applyBorder="1" applyAlignment="1">
      <alignment horizontal="center" vertical="center"/>
    </xf>
    <xf numFmtId="178" fontId="3" fillId="8" borderId="14" xfId="0" applyNumberFormat="1" applyFont="1" applyFill="1" applyBorder="1" applyAlignment="1">
      <alignment horizontal="center" vertical="center"/>
    </xf>
    <xf numFmtId="177" fontId="3" fillId="8" borderId="5" xfId="0" applyNumberFormat="1" applyFont="1" applyFill="1" applyBorder="1" applyAlignment="1">
      <alignment horizontal="center" vertical="center"/>
    </xf>
    <xf numFmtId="177" fontId="3" fillId="8" borderId="8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81" fontId="3" fillId="2" borderId="29" xfId="0" applyNumberFormat="1" applyFont="1" applyFill="1" applyBorder="1" applyAlignment="1">
      <alignment horizontal="center" vertical="center"/>
    </xf>
    <xf numFmtId="177" fontId="3" fillId="8" borderId="2" xfId="0" applyNumberFormat="1" applyFont="1" applyFill="1" applyBorder="1" applyAlignment="1">
      <alignment horizontal="center" vertical="center"/>
    </xf>
    <xf numFmtId="177" fontId="3" fillId="8" borderId="14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177" fontId="4" fillId="8" borderId="2" xfId="0" applyNumberFormat="1" applyFont="1" applyFill="1" applyBorder="1" applyAlignment="1">
      <alignment horizontal="center" vertical="center"/>
    </xf>
    <xf numFmtId="177" fontId="4" fillId="8" borderId="14" xfId="0" applyNumberFormat="1" applyFont="1" applyFill="1" applyBorder="1" applyAlignment="1">
      <alignment horizontal="center" vertical="center"/>
    </xf>
    <xf numFmtId="179" fontId="4" fillId="8" borderId="2" xfId="0" applyNumberFormat="1" applyFont="1" applyFill="1" applyBorder="1" applyAlignment="1">
      <alignment horizontal="center" vertical="center"/>
    </xf>
    <xf numFmtId="179" fontId="4" fillId="8" borderId="1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7" fontId="4" fillId="8" borderId="10" xfId="0" applyNumberFormat="1" applyFont="1" applyFill="1" applyBorder="1" applyAlignment="1">
      <alignment horizontal="center" vertical="center"/>
    </xf>
    <xf numFmtId="177" fontId="4" fillId="8" borderId="11" xfId="0" applyNumberFormat="1" applyFont="1" applyFill="1" applyBorder="1" applyAlignment="1">
      <alignment horizontal="center" vertical="center"/>
    </xf>
    <xf numFmtId="177" fontId="4" fillId="8" borderId="12" xfId="0" applyNumberFormat="1" applyFont="1" applyFill="1" applyBorder="1" applyAlignment="1">
      <alignment horizontal="center" vertical="center"/>
    </xf>
    <xf numFmtId="177" fontId="4" fillId="8" borderId="13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8" fontId="4" fillId="8" borderId="10" xfId="0" applyNumberFormat="1" applyFont="1" applyFill="1" applyBorder="1" applyAlignment="1">
      <alignment horizontal="center" vertical="center"/>
    </xf>
    <xf numFmtId="178" fontId="4" fillId="8" borderId="11" xfId="0" applyNumberFormat="1" applyFont="1" applyFill="1" applyBorder="1" applyAlignment="1">
      <alignment horizontal="center" vertical="center"/>
    </xf>
    <xf numFmtId="178" fontId="4" fillId="8" borderId="12" xfId="0" applyNumberFormat="1" applyFont="1" applyFill="1" applyBorder="1" applyAlignment="1">
      <alignment horizontal="center" vertical="center"/>
    </xf>
    <xf numFmtId="178" fontId="4" fillId="8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81" fontId="3" fillId="2" borderId="8" xfId="0" applyNumberFormat="1" applyFont="1" applyFill="1" applyBorder="1" applyAlignment="1">
      <alignment horizontal="center" vertical="center"/>
    </xf>
    <xf numFmtId="181" fontId="3" fillId="2" borderId="30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81" fontId="3" fillId="2" borderId="27" xfId="0" applyNumberFormat="1" applyFont="1" applyFill="1" applyBorder="1" applyAlignment="1">
      <alignment horizontal="center" vertical="center"/>
    </xf>
    <xf numFmtId="181" fontId="3" fillId="2" borderId="15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8" fontId="3" fillId="8" borderId="10" xfId="0" applyNumberFormat="1" applyFont="1" applyFill="1" applyBorder="1" applyAlignment="1">
      <alignment horizontal="center" vertical="center"/>
    </xf>
    <xf numFmtId="178" fontId="3" fillId="8" borderId="11" xfId="0" applyNumberFormat="1" applyFont="1" applyFill="1" applyBorder="1" applyAlignment="1">
      <alignment horizontal="center" vertical="center"/>
    </xf>
    <xf numFmtId="178" fontId="3" fillId="8" borderId="12" xfId="0" applyNumberFormat="1" applyFont="1" applyFill="1" applyBorder="1" applyAlignment="1">
      <alignment horizontal="center" vertical="center"/>
    </xf>
    <xf numFmtId="178" fontId="3" fillId="8" borderId="13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5" fillId="8" borderId="10" xfId="0" applyNumberFormat="1" applyFont="1" applyFill="1" applyBorder="1" applyAlignment="1">
      <alignment horizontal="center" vertical="center"/>
    </xf>
    <xf numFmtId="177" fontId="5" fillId="8" borderId="11" xfId="0" applyNumberFormat="1" applyFont="1" applyFill="1" applyBorder="1" applyAlignment="1">
      <alignment horizontal="center" vertical="center"/>
    </xf>
    <xf numFmtId="177" fontId="5" fillId="8" borderId="33" xfId="0" applyNumberFormat="1" applyFont="1" applyFill="1" applyBorder="1" applyAlignment="1">
      <alignment horizontal="center" vertical="center"/>
    </xf>
    <xf numFmtId="177" fontId="5" fillId="8" borderId="9" xfId="0" applyNumberFormat="1" applyFont="1" applyFill="1" applyBorder="1" applyAlignment="1">
      <alignment horizontal="center" vertical="center"/>
    </xf>
    <xf numFmtId="177" fontId="5" fillId="8" borderId="12" xfId="0" applyNumberFormat="1" applyFont="1" applyFill="1" applyBorder="1" applyAlignment="1">
      <alignment horizontal="center" vertical="center"/>
    </xf>
    <xf numFmtId="177" fontId="5" fillId="8" borderId="13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176" fontId="4" fillId="7" borderId="2" xfId="0" applyNumberFormat="1" applyFont="1" applyFill="1" applyBorder="1" applyAlignment="1">
      <alignment horizontal="center" vertical="center"/>
    </xf>
    <xf numFmtId="176" fontId="4" fillId="7" borderId="14" xfId="0" applyNumberFormat="1" applyFont="1" applyFill="1" applyBorder="1" applyAlignment="1">
      <alignment horizontal="center" vertical="center"/>
    </xf>
    <xf numFmtId="176" fontId="5" fillId="8" borderId="10" xfId="0" applyNumberFormat="1" applyFont="1" applyFill="1" applyBorder="1" applyAlignment="1">
      <alignment horizontal="center" vertical="center"/>
    </xf>
    <xf numFmtId="176" fontId="5" fillId="8" borderId="4" xfId="0" applyNumberFormat="1" applyFont="1" applyFill="1" applyBorder="1" applyAlignment="1">
      <alignment horizontal="center" vertical="center"/>
    </xf>
    <xf numFmtId="176" fontId="5" fillId="8" borderId="11" xfId="0" applyNumberFormat="1" applyFont="1" applyFill="1" applyBorder="1" applyAlignment="1">
      <alignment horizontal="center" vertical="center"/>
    </xf>
    <xf numFmtId="176" fontId="5" fillId="8" borderId="12" xfId="0" applyNumberFormat="1" applyFont="1" applyFill="1" applyBorder="1" applyAlignment="1">
      <alignment horizontal="center" vertical="center"/>
    </xf>
    <xf numFmtId="176" fontId="5" fillId="8" borderId="3" xfId="0" applyNumberFormat="1" applyFont="1" applyFill="1" applyBorder="1" applyAlignment="1">
      <alignment horizontal="center" vertical="center"/>
    </xf>
    <xf numFmtId="176" fontId="5" fillId="8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7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18</xdr:row>
      <xdr:rowOff>123825</xdr:rowOff>
    </xdr:from>
    <xdr:to>
      <xdr:col>7</xdr:col>
      <xdr:colOff>561975</xdr:colOff>
      <xdr:row>28</xdr:row>
      <xdr:rowOff>104775</xdr:rowOff>
    </xdr:to>
    <xdr:pic>
      <xdr:nvPicPr>
        <xdr:cNvPr id="297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81675"/>
          <a:ext cx="4924425" cy="312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0</xdr:rowOff>
    </xdr:from>
    <xdr:to>
      <xdr:col>12</xdr:col>
      <xdr:colOff>314325</xdr:colOff>
      <xdr:row>10</xdr:row>
      <xdr:rowOff>276225</xdr:rowOff>
    </xdr:to>
    <xdr:pic>
      <xdr:nvPicPr>
        <xdr:cNvPr id="197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314325"/>
          <a:ext cx="5638800" cy="310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</xdr:colOff>
      <xdr:row>40</xdr:row>
      <xdr:rowOff>0</xdr:rowOff>
    </xdr:from>
    <xdr:to>
      <xdr:col>6</xdr:col>
      <xdr:colOff>514350</xdr:colOff>
      <xdr:row>40</xdr:row>
      <xdr:rowOff>0</xdr:rowOff>
    </xdr:to>
    <xdr:sp macro="" textlink="">
      <xdr:nvSpPr>
        <xdr:cNvPr id="19735" name="Line 3"/>
        <xdr:cNvSpPr>
          <a:spLocks noChangeShapeType="1"/>
        </xdr:cNvSpPr>
      </xdr:nvSpPr>
      <xdr:spPr bwMode="auto">
        <a:xfrm>
          <a:off x="942975" y="10906125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95250</xdr:colOff>
      <xdr:row>45</xdr:row>
      <xdr:rowOff>304800</xdr:rowOff>
    </xdr:from>
    <xdr:to>
      <xdr:col>4</xdr:col>
      <xdr:colOff>276225</xdr:colOff>
      <xdr:row>45</xdr:row>
      <xdr:rowOff>304800</xdr:rowOff>
    </xdr:to>
    <xdr:sp macro="" textlink="">
      <xdr:nvSpPr>
        <xdr:cNvPr id="19736" name="Line 4"/>
        <xdr:cNvSpPr>
          <a:spLocks noChangeShapeType="1"/>
        </xdr:cNvSpPr>
      </xdr:nvSpPr>
      <xdr:spPr bwMode="auto">
        <a:xfrm>
          <a:off x="1009650" y="123920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1138" name="Line 1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1139" name="Line 2"/>
        <xdr:cNvSpPr>
          <a:spLocks noChangeShapeType="1"/>
        </xdr:cNvSpPr>
      </xdr:nvSpPr>
      <xdr:spPr bwMode="auto">
        <a:xfrm flipV="1">
          <a:off x="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1140" name="Line 3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1141" name="Line 4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400050" y="10001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6151" name="Text Box 7"/>
        <xdr:cNvSpPr txBox="1">
          <a:spLocks noChangeArrowheads="1"/>
        </xdr:cNvSpPr>
      </xdr:nvSpPr>
      <xdr:spPr bwMode="auto">
        <a:xfrm>
          <a:off x="4324350" y="13144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400050" y="194310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6157" name="Text Box 13"/>
        <xdr:cNvSpPr txBox="1">
          <a:spLocks noChangeArrowheads="1"/>
        </xdr:cNvSpPr>
      </xdr:nvSpPr>
      <xdr:spPr bwMode="auto">
        <a:xfrm>
          <a:off x="400050" y="194310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1146" name="Line 14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1147" name="Line 15"/>
        <xdr:cNvSpPr>
          <a:spLocks noChangeShapeType="1"/>
        </xdr:cNvSpPr>
      </xdr:nvSpPr>
      <xdr:spPr bwMode="auto">
        <a:xfrm flipH="1">
          <a:off x="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1148" name="Line 16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1149" name="Line 17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6162" name="Text Box 18"/>
        <xdr:cNvSpPr txBox="1">
          <a:spLocks noChangeArrowheads="1"/>
        </xdr:cNvSpPr>
      </xdr:nvSpPr>
      <xdr:spPr bwMode="auto">
        <a:xfrm>
          <a:off x="4324350" y="225742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51151" name="Line 19"/>
        <xdr:cNvSpPr>
          <a:spLocks noChangeShapeType="1"/>
        </xdr:cNvSpPr>
      </xdr:nvSpPr>
      <xdr:spPr bwMode="auto">
        <a:xfrm>
          <a:off x="0" y="446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51152" name="Line 20"/>
        <xdr:cNvSpPr>
          <a:spLocks noChangeShapeType="1"/>
        </xdr:cNvSpPr>
      </xdr:nvSpPr>
      <xdr:spPr bwMode="auto">
        <a:xfrm flipV="1">
          <a:off x="0" y="446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51153" name="Line 21"/>
        <xdr:cNvSpPr>
          <a:spLocks noChangeShapeType="1"/>
        </xdr:cNvSpPr>
      </xdr:nvSpPr>
      <xdr:spPr bwMode="auto">
        <a:xfrm>
          <a:off x="0" y="446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51154" name="Line 22"/>
        <xdr:cNvSpPr>
          <a:spLocks noChangeShapeType="1"/>
        </xdr:cNvSpPr>
      </xdr:nvSpPr>
      <xdr:spPr bwMode="auto">
        <a:xfrm>
          <a:off x="0" y="446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6167" name="Text Box 23"/>
        <xdr:cNvSpPr txBox="1">
          <a:spLocks noChangeArrowheads="1"/>
        </xdr:cNvSpPr>
      </xdr:nvSpPr>
      <xdr:spPr bwMode="auto">
        <a:xfrm>
          <a:off x="400050" y="60293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6168" name="Text Box 24"/>
        <xdr:cNvSpPr txBox="1">
          <a:spLocks noChangeArrowheads="1"/>
        </xdr:cNvSpPr>
      </xdr:nvSpPr>
      <xdr:spPr bwMode="auto">
        <a:xfrm>
          <a:off x="4324350" y="63436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6169" name="Text Box 25"/>
        <xdr:cNvSpPr txBox="1">
          <a:spLocks noChangeArrowheads="1"/>
        </xdr:cNvSpPr>
      </xdr:nvSpPr>
      <xdr:spPr bwMode="auto">
        <a:xfrm>
          <a:off x="400050" y="697230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6170" name="Text Box 26"/>
        <xdr:cNvSpPr txBox="1">
          <a:spLocks noChangeArrowheads="1"/>
        </xdr:cNvSpPr>
      </xdr:nvSpPr>
      <xdr:spPr bwMode="auto">
        <a:xfrm>
          <a:off x="400050" y="697230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51159" name="Line 27"/>
        <xdr:cNvSpPr>
          <a:spLocks noChangeShapeType="1"/>
        </xdr:cNvSpPr>
      </xdr:nvSpPr>
      <xdr:spPr bwMode="auto">
        <a:xfrm>
          <a:off x="0" y="446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51160" name="Line 28"/>
        <xdr:cNvSpPr>
          <a:spLocks noChangeShapeType="1"/>
        </xdr:cNvSpPr>
      </xdr:nvSpPr>
      <xdr:spPr bwMode="auto">
        <a:xfrm flipH="1">
          <a:off x="0" y="446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51161" name="Line 29"/>
        <xdr:cNvSpPr>
          <a:spLocks noChangeShapeType="1"/>
        </xdr:cNvSpPr>
      </xdr:nvSpPr>
      <xdr:spPr bwMode="auto">
        <a:xfrm>
          <a:off x="0" y="446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51162" name="Line 30"/>
        <xdr:cNvSpPr>
          <a:spLocks noChangeShapeType="1"/>
        </xdr:cNvSpPr>
      </xdr:nvSpPr>
      <xdr:spPr bwMode="auto">
        <a:xfrm>
          <a:off x="0" y="446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47625</xdr:rowOff>
    </xdr:to>
    <xdr:sp macro="" textlink="">
      <xdr:nvSpPr>
        <xdr:cNvPr id="6175" name="Text Box 31"/>
        <xdr:cNvSpPr txBox="1">
          <a:spLocks noChangeArrowheads="1"/>
        </xdr:cNvSpPr>
      </xdr:nvSpPr>
      <xdr:spPr bwMode="auto">
        <a:xfrm>
          <a:off x="4324350" y="728662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21</xdr:row>
      <xdr:rowOff>180975</xdr:rowOff>
    </xdr:from>
    <xdr:to>
      <xdr:col>0</xdr:col>
      <xdr:colOff>0</xdr:colOff>
      <xdr:row>22</xdr:row>
      <xdr:rowOff>28575</xdr:rowOff>
    </xdr:to>
    <xdr:sp macro="" textlink="">
      <xdr:nvSpPr>
        <xdr:cNvPr id="51164" name="Line 32"/>
        <xdr:cNvSpPr>
          <a:spLocks noChangeShapeType="1"/>
        </xdr:cNvSpPr>
      </xdr:nvSpPr>
      <xdr:spPr bwMode="auto">
        <a:xfrm>
          <a:off x="0" y="65341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22</xdr:row>
      <xdr:rowOff>38100</xdr:rowOff>
    </xdr:to>
    <xdr:sp macro="" textlink="">
      <xdr:nvSpPr>
        <xdr:cNvPr id="51165" name="Line 33"/>
        <xdr:cNvSpPr>
          <a:spLocks noChangeShapeType="1"/>
        </xdr:cNvSpPr>
      </xdr:nvSpPr>
      <xdr:spPr bwMode="auto">
        <a:xfrm flipV="1">
          <a:off x="0" y="6038850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9525</xdr:rowOff>
    </xdr:from>
    <xdr:to>
      <xdr:col>0</xdr:col>
      <xdr:colOff>0</xdr:colOff>
      <xdr:row>20</xdr:row>
      <xdr:rowOff>9525</xdr:rowOff>
    </xdr:to>
    <xdr:sp macro="" textlink="">
      <xdr:nvSpPr>
        <xdr:cNvPr id="51166" name="Line 34"/>
        <xdr:cNvSpPr>
          <a:spLocks noChangeShapeType="1"/>
        </xdr:cNvSpPr>
      </xdr:nvSpPr>
      <xdr:spPr bwMode="auto">
        <a:xfrm>
          <a:off x="0" y="6048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9525</xdr:rowOff>
    </xdr:from>
    <xdr:to>
      <xdr:col>0</xdr:col>
      <xdr:colOff>0</xdr:colOff>
      <xdr:row>21</xdr:row>
      <xdr:rowOff>9525</xdr:rowOff>
    </xdr:to>
    <xdr:sp macro="" textlink="">
      <xdr:nvSpPr>
        <xdr:cNvPr id="51167" name="Line 35"/>
        <xdr:cNvSpPr>
          <a:spLocks noChangeShapeType="1"/>
        </xdr:cNvSpPr>
      </xdr:nvSpPr>
      <xdr:spPr bwMode="auto">
        <a:xfrm>
          <a:off x="0" y="636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57150</xdr:rowOff>
    </xdr:from>
    <xdr:to>
      <xdr:col>0</xdr:col>
      <xdr:colOff>0</xdr:colOff>
      <xdr:row>21</xdr:row>
      <xdr:rowOff>38100</xdr:rowOff>
    </xdr:to>
    <xdr:sp macro="" textlink="">
      <xdr:nvSpPr>
        <xdr:cNvPr id="6180" name="Text Box 36"/>
        <xdr:cNvSpPr txBox="1">
          <a:spLocks noChangeArrowheads="1"/>
        </xdr:cNvSpPr>
      </xdr:nvSpPr>
      <xdr:spPr bwMode="auto">
        <a:xfrm>
          <a:off x="0" y="9172575"/>
          <a:ext cx="0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21</xdr:row>
      <xdr:rowOff>57150</xdr:rowOff>
    </xdr:from>
    <xdr:to>
      <xdr:col>0</xdr:col>
      <xdr:colOff>0</xdr:colOff>
      <xdr:row>22</xdr:row>
      <xdr:rowOff>47625</xdr:rowOff>
    </xdr:to>
    <xdr:sp macro="" textlink="">
      <xdr:nvSpPr>
        <xdr:cNvPr id="6181" name="Text Box 37"/>
        <xdr:cNvSpPr txBox="1">
          <a:spLocks noChangeArrowheads="1"/>
        </xdr:cNvSpPr>
      </xdr:nvSpPr>
      <xdr:spPr bwMode="auto">
        <a:xfrm>
          <a:off x="0" y="9486900"/>
          <a:ext cx="0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23</xdr:row>
      <xdr:rowOff>57150</xdr:rowOff>
    </xdr:from>
    <xdr:to>
      <xdr:col>0</xdr:col>
      <xdr:colOff>0</xdr:colOff>
      <xdr:row>24</xdr:row>
      <xdr:rowOff>38100</xdr:rowOff>
    </xdr:to>
    <xdr:sp macro="" textlink="">
      <xdr:nvSpPr>
        <xdr:cNvPr id="6182" name="Text Box 38"/>
        <xdr:cNvSpPr txBox="1">
          <a:spLocks noChangeArrowheads="1"/>
        </xdr:cNvSpPr>
      </xdr:nvSpPr>
      <xdr:spPr bwMode="auto">
        <a:xfrm>
          <a:off x="0" y="10115550"/>
          <a:ext cx="0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23</xdr:row>
      <xdr:rowOff>57150</xdr:rowOff>
    </xdr:from>
    <xdr:to>
      <xdr:col>0</xdr:col>
      <xdr:colOff>0</xdr:colOff>
      <xdr:row>24</xdr:row>
      <xdr:rowOff>38100</xdr:rowOff>
    </xdr:to>
    <xdr:sp macro="" textlink="">
      <xdr:nvSpPr>
        <xdr:cNvPr id="6183" name="Text Box 39"/>
        <xdr:cNvSpPr txBox="1">
          <a:spLocks noChangeArrowheads="1"/>
        </xdr:cNvSpPr>
      </xdr:nvSpPr>
      <xdr:spPr bwMode="auto">
        <a:xfrm>
          <a:off x="0" y="10115550"/>
          <a:ext cx="0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24</xdr:row>
      <xdr:rowOff>161925</xdr:rowOff>
    </xdr:from>
    <xdr:to>
      <xdr:col>0</xdr:col>
      <xdr:colOff>0</xdr:colOff>
      <xdr:row>24</xdr:row>
      <xdr:rowOff>257175</xdr:rowOff>
    </xdr:to>
    <xdr:sp macro="" textlink="">
      <xdr:nvSpPr>
        <xdr:cNvPr id="51172" name="Line 40"/>
        <xdr:cNvSpPr>
          <a:spLocks noChangeShapeType="1"/>
        </xdr:cNvSpPr>
      </xdr:nvSpPr>
      <xdr:spPr bwMode="auto">
        <a:xfrm>
          <a:off x="0" y="7458075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9525</xdr:rowOff>
    </xdr:from>
    <xdr:to>
      <xdr:col>0</xdr:col>
      <xdr:colOff>0</xdr:colOff>
      <xdr:row>24</xdr:row>
      <xdr:rowOff>266700</xdr:rowOff>
    </xdr:to>
    <xdr:sp macro="" textlink="">
      <xdr:nvSpPr>
        <xdr:cNvPr id="51173" name="Line 41"/>
        <xdr:cNvSpPr>
          <a:spLocks noChangeShapeType="1"/>
        </xdr:cNvSpPr>
      </xdr:nvSpPr>
      <xdr:spPr bwMode="auto">
        <a:xfrm flipH="1">
          <a:off x="0" y="699135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23</xdr:row>
      <xdr:rowOff>0</xdr:rowOff>
    </xdr:from>
    <xdr:to>
      <xdr:col>0</xdr:col>
      <xdr:colOff>0</xdr:colOff>
      <xdr:row>23</xdr:row>
      <xdr:rowOff>0</xdr:rowOff>
    </xdr:to>
    <xdr:sp macro="" textlink="">
      <xdr:nvSpPr>
        <xdr:cNvPr id="51174" name="Line 42"/>
        <xdr:cNvSpPr>
          <a:spLocks noChangeShapeType="1"/>
        </xdr:cNvSpPr>
      </xdr:nvSpPr>
      <xdr:spPr bwMode="auto">
        <a:xfrm>
          <a:off x="0" y="698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51175" name="Line 43"/>
        <xdr:cNvSpPr>
          <a:spLocks noChangeShapeType="1"/>
        </xdr:cNvSpPr>
      </xdr:nvSpPr>
      <xdr:spPr bwMode="auto">
        <a:xfrm>
          <a:off x="0" y="7296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24</xdr:row>
      <xdr:rowOff>57150</xdr:rowOff>
    </xdr:from>
    <xdr:to>
      <xdr:col>0</xdr:col>
      <xdr:colOff>0</xdr:colOff>
      <xdr:row>25</xdr:row>
      <xdr:rowOff>0</xdr:rowOff>
    </xdr:to>
    <xdr:sp macro="" textlink="">
      <xdr:nvSpPr>
        <xdr:cNvPr id="6188" name="Text Box 44"/>
        <xdr:cNvSpPr txBox="1">
          <a:spLocks noChangeArrowheads="1"/>
        </xdr:cNvSpPr>
      </xdr:nvSpPr>
      <xdr:spPr bwMode="auto">
        <a:xfrm>
          <a:off x="0" y="10429875"/>
          <a:ext cx="0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51177" name="Line 45"/>
        <xdr:cNvSpPr>
          <a:spLocks noChangeShapeType="1"/>
        </xdr:cNvSpPr>
      </xdr:nvSpPr>
      <xdr:spPr bwMode="auto">
        <a:xfrm>
          <a:off x="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6</xdr:row>
      <xdr:rowOff>9525</xdr:rowOff>
    </xdr:to>
    <xdr:sp macro="" textlink="">
      <xdr:nvSpPr>
        <xdr:cNvPr id="51178" name="Line 47"/>
        <xdr:cNvSpPr>
          <a:spLocks noChangeShapeType="1"/>
        </xdr:cNvSpPr>
      </xdr:nvSpPr>
      <xdr:spPr bwMode="auto">
        <a:xfrm>
          <a:off x="0" y="166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51179" name="Line 48"/>
        <xdr:cNvSpPr>
          <a:spLocks noChangeShapeType="1"/>
        </xdr:cNvSpPr>
      </xdr:nvSpPr>
      <xdr:spPr bwMode="auto">
        <a:xfrm>
          <a:off x="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6</xdr:row>
      <xdr:rowOff>57150</xdr:rowOff>
    </xdr:from>
    <xdr:to>
      <xdr:col>0</xdr:col>
      <xdr:colOff>0</xdr:colOff>
      <xdr:row>13</xdr:row>
      <xdr:rowOff>0</xdr:rowOff>
    </xdr:to>
    <xdr:sp macro="" textlink="">
      <xdr:nvSpPr>
        <xdr:cNvPr id="6193" name="Text Box 49"/>
        <xdr:cNvSpPr txBox="1">
          <a:spLocks noChangeArrowheads="1"/>
        </xdr:cNvSpPr>
      </xdr:nvSpPr>
      <xdr:spPr bwMode="auto">
        <a:xfrm>
          <a:off x="400050" y="35147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6194" name="Text Box 50"/>
        <xdr:cNvSpPr txBox="1">
          <a:spLocks noChangeArrowheads="1"/>
        </xdr:cNvSpPr>
      </xdr:nvSpPr>
      <xdr:spPr bwMode="auto">
        <a:xfrm>
          <a:off x="4324350" y="38290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6195" name="Text Box 51"/>
        <xdr:cNvSpPr txBox="1">
          <a:spLocks noChangeArrowheads="1"/>
        </xdr:cNvSpPr>
      </xdr:nvSpPr>
      <xdr:spPr bwMode="auto">
        <a:xfrm>
          <a:off x="400050" y="445770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6196" name="Text Box 52"/>
        <xdr:cNvSpPr txBox="1">
          <a:spLocks noChangeArrowheads="1"/>
        </xdr:cNvSpPr>
      </xdr:nvSpPr>
      <xdr:spPr bwMode="auto">
        <a:xfrm>
          <a:off x="400050" y="445770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51184" name="Line 53"/>
        <xdr:cNvSpPr>
          <a:spLocks noChangeShapeType="1"/>
        </xdr:cNvSpPr>
      </xdr:nvSpPr>
      <xdr:spPr bwMode="auto">
        <a:xfrm>
          <a:off x="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51185" name="Line 54"/>
        <xdr:cNvSpPr>
          <a:spLocks noChangeShapeType="1"/>
        </xdr:cNvSpPr>
      </xdr:nvSpPr>
      <xdr:spPr bwMode="auto">
        <a:xfrm flipH="1">
          <a:off x="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51186" name="Line 55"/>
        <xdr:cNvSpPr>
          <a:spLocks noChangeShapeType="1"/>
        </xdr:cNvSpPr>
      </xdr:nvSpPr>
      <xdr:spPr bwMode="auto">
        <a:xfrm>
          <a:off x="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51187" name="Line 56"/>
        <xdr:cNvSpPr>
          <a:spLocks noChangeShapeType="1"/>
        </xdr:cNvSpPr>
      </xdr:nvSpPr>
      <xdr:spPr bwMode="auto">
        <a:xfrm>
          <a:off x="0" y="3838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6201" name="Text Box 57"/>
        <xdr:cNvSpPr txBox="1">
          <a:spLocks noChangeArrowheads="1"/>
        </xdr:cNvSpPr>
      </xdr:nvSpPr>
      <xdr:spPr bwMode="auto">
        <a:xfrm>
          <a:off x="4324350" y="477202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19</xdr:row>
      <xdr:rowOff>180975</xdr:rowOff>
    </xdr:from>
    <xdr:to>
      <xdr:col>0</xdr:col>
      <xdr:colOff>0</xdr:colOff>
      <xdr:row>20</xdr:row>
      <xdr:rowOff>28575</xdr:rowOff>
    </xdr:to>
    <xdr:sp macro="" textlink="">
      <xdr:nvSpPr>
        <xdr:cNvPr id="51189" name="Line 60"/>
        <xdr:cNvSpPr>
          <a:spLocks noChangeShapeType="1"/>
        </xdr:cNvSpPr>
      </xdr:nvSpPr>
      <xdr:spPr bwMode="auto">
        <a:xfrm>
          <a:off x="0" y="59055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20</xdr:row>
      <xdr:rowOff>38100</xdr:rowOff>
    </xdr:to>
    <xdr:sp macro="" textlink="">
      <xdr:nvSpPr>
        <xdr:cNvPr id="51190" name="Line 61"/>
        <xdr:cNvSpPr>
          <a:spLocks noChangeShapeType="1"/>
        </xdr:cNvSpPr>
      </xdr:nvSpPr>
      <xdr:spPr bwMode="auto">
        <a:xfrm flipV="1">
          <a:off x="0" y="5410200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0</xdr:col>
      <xdr:colOff>0</xdr:colOff>
      <xdr:row>18</xdr:row>
      <xdr:rowOff>9525</xdr:rowOff>
    </xdr:to>
    <xdr:sp macro="" textlink="">
      <xdr:nvSpPr>
        <xdr:cNvPr id="51191" name="Line 6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19</xdr:row>
      <xdr:rowOff>9525</xdr:rowOff>
    </xdr:to>
    <xdr:sp macro="" textlink="">
      <xdr:nvSpPr>
        <xdr:cNvPr id="51192" name="Line 63"/>
        <xdr:cNvSpPr>
          <a:spLocks noChangeShapeType="1"/>
        </xdr:cNvSpPr>
      </xdr:nvSpPr>
      <xdr:spPr bwMode="auto">
        <a:xfrm>
          <a:off x="0" y="573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57150</xdr:rowOff>
    </xdr:from>
    <xdr:to>
      <xdr:col>0</xdr:col>
      <xdr:colOff>0</xdr:colOff>
      <xdr:row>19</xdr:row>
      <xdr:rowOff>38100</xdr:rowOff>
    </xdr:to>
    <xdr:sp macro="" textlink="">
      <xdr:nvSpPr>
        <xdr:cNvPr id="6208" name="Text Box 64"/>
        <xdr:cNvSpPr txBox="1">
          <a:spLocks noChangeArrowheads="1"/>
        </xdr:cNvSpPr>
      </xdr:nvSpPr>
      <xdr:spPr bwMode="auto">
        <a:xfrm>
          <a:off x="0" y="8543925"/>
          <a:ext cx="0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19</xdr:row>
      <xdr:rowOff>57150</xdr:rowOff>
    </xdr:from>
    <xdr:to>
      <xdr:col>0</xdr:col>
      <xdr:colOff>0</xdr:colOff>
      <xdr:row>20</xdr:row>
      <xdr:rowOff>47625</xdr:rowOff>
    </xdr:to>
    <xdr:sp macro="" textlink="">
      <xdr:nvSpPr>
        <xdr:cNvPr id="6209" name="Text Box 65"/>
        <xdr:cNvSpPr txBox="1">
          <a:spLocks noChangeArrowheads="1"/>
        </xdr:cNvSpPr>
      </xdr:nvSpPr>
      <xdr:spPr bwMode="auto">
        <a:xfrm>
          <a:off x="0" y="8858250"/>
          <a:ext cx="0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21</xdr:row>
      <xdr:rowOff>57150</xdr:rowOff>
    </xdr:from>
    <xdr:to>
      <xdr:col>0</xdr:col>
      <xdr:colOff>0</xdr:colOff>
      <xdr:row>22</xdr:row>
      <xdr:rowOff>38100</xdr:rowOff>
    </xdr:to>
    <xdr:sp macro="" textlink="">
      <xdr:nvSpPr>
        <xdr:cNvPr id="6210" name="Text Box 66"/>
        <xdr:cNvSpPr txBox="1">
          <a:spLocks noChangeArrowheads="1"/>
        </xdr:cNvSpPr>
      </xdr:nvSpPr>
      <xdr:spPr bwMode="auto">
        <a:xfrm>
          <a:off x="0" y="9486900"/>
          <a:ext cx="0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21</xdr:row>
      <xdr:rowOff>57150</xdr:rowOff>
    </xdr:from>
    <xdr:to>
      <xdr:col>0</xdr:col>
      <xdr:colOff>0</xdr:colOff>
      <xdr:row>22</xdr:row>
      <xdr:rowOff>38100</xdr:rowOff>
    </xdr:to>
    <xdr:sp macro="" textlink="">
      <xdr:nvSpPr>
        <xdr:cNvPr id="6211" name="Text Box 67"/>
        <xdr:cNvSpPr txBox="1">
          <a:spLocks noChangeArrowheads="1"/>
        </xdr:cNvSpPr>
      </xdr:nvSpPr>
      <xdr:spPr bwMode="auto">
        <a:xfrm>
          <a:off x="0" y="9486900"/>
          <a:ext cx="0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22</xdr:row>
      <xdr:rowOff>161925</xdr:rowOff>
    </xdr:from>
    <xdr:to>
      <xdr:col>0</xdr:col>
      <xdr:colOff>0</xdr:colOff>
      <xdr:row>22</xdr:row>
      <xdr:rowOff>257175</xdr:rowOff>
    </xdr:to>
    <xdr:sp macro="" textlink="">
      <xdr:nvSpPr>
        <xdr:cNvPr id="51197" name="Line 68"/>
        <xdr:cNvSpPr>
          <a:spLocks noChangeShapeType="1"/>
        </xdr:cNvSpPr>
      </xdr:nvSpPr>
      <xdr:spPr bwMode="auto">
        <a:xfrm>
          <a:off x="0" y="6829425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9525</xdr:rowOff>
    </xdr:from>
    <xdr:to>
      <xdr:col>0</xdr:col>
      <xdr:colOff>0</xdr:colOff>
      <xdr:row>22</xdr:row>
      <xdr:rowOff>266700</xdr:rowOff>
    </xdr:to>
    <xdr:sp macro="" textlink="">
      <xdr:nvSpPr>
        <xdr:cNvPr id="51198" name="Line 69"/>
        <xdr:cNvSpPr>
          <a:spLocks noChangeShapeType="1"/>
        </xdr:cNvSpPr>
      </xdr:nvSpPr>
      <xdr:spPr bwMode="auto">
        <a:xfrm flipH="1">
          <a:off x="0" y="63627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51199" name="Line 70"/>
        <xdr:cNvSpPr>
          <a:spLocks noChangeShapeType="1"/>
        </xdr:cNvSpPr>
      </xdr:nvSpPr>
      <xdr:spPr bwMode="auto">
        <a:xfrm>
          <a:off x="0" y="635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1200" name="Line 71"/>
        <xdr:cNvSpPr>
          <a:spLocks noChangeShapeType="1"/>
        </xdr:cNvSpPr>
      </xdr:nvSpPr>
      <xdr:spPr bwMode="auto">
        <a:xfrm>
          <a:off x="0" y="666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57150</xdr:rowOff>
    </xdr:from>
    <xdr:to>
      <xdr:col>0</xdr:col>
      <xdr:colOff>0</xdr:colOff>
      <xdr:row>23</xdr:row>
      <xdr:rowOff>47625</xdr:rowOff>
    </xdr:to>
    <xdr:sp macro="" textlink="">
      <xdr:nvSpPr>
        <xdr:cNvPr id="6216" name="Text Box 72"/>
        <xdr:cNvSpPr txBox="1">
          <a:spLocks noChangeArrowheads="1"/>
        </xdr:cNvSpPr>
      </xdr:nvSpPr>
      <xdr:spPr bwMode="auto">
        <a:xfrm>
          <a:off x="0" y="9801225"/>
          <a:ext cx="0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18</xdr:row>
      <xdr:rowOff>57150</xdr:rowOff>
    </xdr:from>
    <xdr:to>
      <xdr:col>0</xdr:col>
      <xdr:colOff>0</xdr:colOff>
      <xdr:row>19</xdr:row>
      <xdr:rowOff>47625</xdr:rowOff>
    </xdr:to>
    <xdr:sp macro="" textlink="">
      <xdr:nvSpPr>
        <xdr:cNvPr id="6217" name="Text Box 73"/>
        <xdr:cNvSpPr txBox="1">
          <a:spLocks noChangeArrowheads="1"/>
        </xdr:cNvSpPr>
      </xdr:nvSpPr>
      <xdr:spPr bwMode="auto">
        <a:xfrm>
          <a:off x="0" y="8543925"/>
          <a:ext cx="0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19</xdr:row>
      <xdr:rowOff>180975</xdr:rowOff>
    </xdr:from>
    <xdr:to>
      <xdr:col>0</xdr:col>
      <xdr:colOff>0</xdr:colOff>
      <xdr:row>20</xdr:row>
      <xdr:rowOff>28575</xdr:rowOff>
    </xdr:to>
    <xdr:sp macro="" textlink="">
      <xdr:nvSpPr>
        <xdr:cNvPr id="51203" name="Line 74"/>
        <xdr:cNvSpPr>
          <a:spLocks noChangeShapeType="1"/>
        </xdr:cNvSpPr>
      </xdr:nvSpPr>
      <xdr:spPr bwMode="auto">
        <a:xfrm>
          <a:off x="0" y="590550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20</xdr:row>
      <xdr:rowOff>38100</xdr:rowOff>
    </xdr:to>
    <xdr:sp macro="" textlink="">
      <xdr:nvSpPr>
        <xdr:cNvPr id="51204" name="Line 75"/>
        <xdr:cNvSpPr>
          <a:spLocks noChangeShapeType="1"/>
        </xdr:cNvSpPr>
      </xdr:nvSpPr>
      <xdr:spPr bwMode="auto">
        <a:xfrm flipV="1">
          <a:off x="0" y="5410200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0</xdr:col>
      <xdr:colOff>0</xdr:colOff>
      <xdr:row>18</xdr:row>
      <xdr:rowOff>9525</xdr:rowOff>
    </xdr:to>
    <xdr:sp macro="" textlink="">
      <xdr:nvSpPr>
        <xdr:cNvPr id="51205" name="Line 76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9525</xdr:rowOff>
    </xdr:from>
    <xdr:to>
      <xdr:col>0</xdr:col>
      <xdr:colOff>0</xdr:colOff>
      <xdr:row>19</xdr:row>
      <xdr:rowOff>9525</xdr:rowOff>
    </xdr:to>
    <xdr:sp macro="" textlink="">
      <xdr:nvSpPr>
        <xdr:cNvPr id="51206" name="Line 77"/>
        <xdr:cNvSpPr>
          <a:spLocks noChangeShapeType="1"/>
        </xdr:cNvSpPr>
      </xdr:nvSpPr>
      <xdr:spPr bwMode="auto">
        <a:xfrm>
          <a:off x="0" y="573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57150</xdr:rowOff>
    </xdr:from>
    <xdr:to>
      <xdr:col>0</xdr:col>
      <xdr:colOff>0</xdr:colOff>
      <xdr:row>19</xdr:row>
      <xdr:rowOff>38100</xdr:rowOff>
    </xdr:to>
    <xdr:sp macro="" textlink="">
      <xdr:nvSpPr>
        <xdr:cNvPr id="6222" name="Text Box 78"/>
        <xdr:cNvSpPr txBox="1">
          <a:spLocks noChangeArrowheads="1"/>
        </xdr:cNvSpPr>
      </xdr:nvSpPr>
      <xdr:spPr bwMode="auto">
        <a:xfrm>
          <a:off x="400050" y="85439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19</xdr:row>
      <xdr:rowOff>57150</xdr:rowOff>
    </xdr:from>
    <xdr:to>
      <xdr:col>0</xdr:col>
      <xdr:colOff>0</xdr:colOff>
      <xdr:row>20</xdr:row>
      <xdr:rowOff>47625</xdr:rowOff>
    </xdr:to>
    <xdr:sp macro="" textlink="">
      <xdr:nvSpPr>
        <xdr:cNvPr id="6223" name="Text Box 79"/>
        <xdr:cNvSpPr txBox="1">
          <a:spLocks noChangeArrowheads="1"/>
        </xdr:cNvSpPr>
      </xdr:nvSpPr>
      <xdr:spPr bwMode="auto">
        <a:xfrm>
          <a:off x="4324350" y="88582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21</xdr:row>
      <xdr:rowOff>57150</xdr:rowOff>
    </xdr:from>
    <xdr:to>
      <xdr:col>0</xdr:col>
      <xdr:colOff>0</xdr:colOff>
      <xdr:row>22</xdr:row>
      <xdr:rowOff>38100</xdr:rowOff>
    </xdr:to>
    <xdr:sp macro="" textlink="">
      <xdr:nvSpPr>
        <xdr:cNvPr id="6224" name="Text Box 80"/>
        <xdr:cNvSpPr txBox="1">
          <a:spLocks noChangeArrowheads="1"/>
        </xdr:cNvSpPr>
      </xdr:nvSpPr>
      <xdr:spPr bwMode="auto">
        <a:xfrm>
          <a:off x="400050" y="948690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21</xdr:row>
      <xdr:rowOff>57150</xdr:rowOff>
    </xdr:from>
    <xdr:to>
      <xdr:col>0</xdr:col>
      <xdr:colOff>0</xdr:colOff>
      <xdr:row>22</xdr:row>
      <xdr:rowOff>38100</xdr:rowOff>
    </xdr:to>
    <xdr:sp macro="" textlink="">
      <xdr:nvSpPr>
        <xdr:cNvPr id="6225" name="Text Box 81"/>
        <xdr:cNvSpPr txBox="1">
          <a:spLocks noChangeArrowheads="1"/>
        </xdr:cNvSpPr>
      </xdr:nvSpPr>
      <xdr:spPr bwMode="auto">
        <a:xfrm>
          <a:off x="400050" y="948690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22</xdr:row>
      <xdr:rowOff>161925</xdr:rowOff>
    </xdr:from>
    <xdr:to>
      <xdr:col>0</xdr:col>
      <xdr:colOff>0</xdr:colOff>
      <xdr:row>22</xdr:row>
      <xdr:rowOff>257175</xdr:rowOff>
    </xdr:to>
    <xdr:sp macro="" textlink="">
      <xdr:nvSpPr>
        <xdr:cNvPr id="51211" name="Line 82"/>
        <xdr:cNvSpPr>
          <a:spLocks noChangeShapeType="1"/>
        </xdr:cNvSpPr>
      </xdr:nvSpPr>
      <xdr:spPr bwMode="auto">
        <a:xfrm>
          <a:off x="0" y="6829425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9525</xdr:rowOff>
    </xdr:from>
    <xdr:to>
      <xdr:col>0</xdr:col>
      <xdr:colOff>0</xdr:colOff>
      <xdr:row>22</xdr:row>
      <xdr:rowOff>266700</xdr:rowOff>
    </xdr:to>
    <xdr:sp macro="" textlink="">
      <xdr:nvSpPr>
        <xdr:cNvPr id="51212" name="Line 83"/>
        <xdr:cNvSpPr>
          <a:spLocks noChangeShapeType="1"/>
        </xdr:cNvSpPr>
      </xdr:nvSpPr>
      <xdr:spPr bwMode="auto">
        <a:xfrm flipH="1">
          <a:off x="0" y="63627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0</xdr:colOff>
      <xdr:row>21</xdr:row>
      <xdr:rowOff>0</xdr:rowOff>
    </xdr:to>
    <xdr:sp macro="" textlink="">
      <xdr:nvSpPr>
        <xdr:cNvPr id="51213" name="Line 84"/>
        <xdr:cNvSpPr>
          <a:spLocks noChangeShapeType="1"/>
        </xdr:cNvSpPr>
      </xdr:nvSpPr>
      <xdr:spPr bwMode="auto">
        <a:xfrm>
          <a:off x="0" y="635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51214" name="Line 85"/>
        <xdr:cNvSpPr>
          <a:spLocks noChangeShapeType="1"/>
        </xdr:cNvSpPr>
      </xdr:nvSpPr>
      <xdr:spPr bwMode="auto">
        <a:xfrm>
          <a:off x="0" y="666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22</xdr:row>
      <xdr:rowOff>57150</xdr:rowOff>
    </xdr:from>
    <xdr:to>
      <xdr:col>0</xdr:col>
      <xdr:colOff>0</xdr:colOff>
      <xdr:row>23</xdr:row>
      <xdr:rowOff>47625</xdr:rowOff>
    </xdr:to>
    <xdr:sp macro="" textlink="">
      <xdr:nvSpPr>
        <xdr:cNvPr id="6230" name="Text Box 86"/>
        <xdr:cNvSpPr txBox="1">
          <a:spLocks noChangeArrowheads="1"/>
        </xdr:cNvSpPr>
      </xdr:nvSpPr>
      <xdr:spPr bwMode="auto">
        <a:xfrm>
          <a:off x="4324350" y="980122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19</xdr:row>
      <xdr:rowOff>57150</xdr:rowOff>
    </xdr:from>
    <xdr:to>
      <xdr:col>0</xdr:col>
      <xdr:colOff>0</xdr:colOff>
      <xdr:row>20</xdr:row>
      <xdr:rowOff>47625</xdr:rowOff>
    </xdr:to>
    <xdr:sp macro="" textlink="">
      <xdr:nvSpPr>
        <xdr:cNvPr id="6231" name="Text Box 87"/>
        <xdr:cNvSpPr txBox="1">
          <a:spLocks noChangeArrowheads="1"/>
        </xdr:cNvSpPr>
      </xdr:nvSpPr>
      <xdr:spPr bwMode="auto">
        <a:xfrm>
          <a:off x="4324350" y="88582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22</xdr:row>
      <xdr:rowOff>57150</xdr:rowOff>
    </xdr:from>
    <xdr:to>
      <xdr:col>0</xdr:col>
      <xdr:colOff>0</xdr:colOff>
      <xdr:row>23</xdr:row>
      <xdr:rowOff>47625</xdr:rowOff>
    </xdr:to>
    <xdr:sp macro="" textlink="">
      <xdr:nvSpPr>
        <xdr:cNvPr id="6233" name="Text Box 89"/>
        <xdr:cNvSpPr txBox="1">
          <a:spLocks noChangeArrowheads="1"/>
        </xdr:cNvSpPr>
      </xdr:nvSpPr>
      <xdr:spPr bwMode="auto">
        <a:xfrm>
          <a:off x="4324350" y="980122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38" name="Text Box 94"/>
        <xdr:cNvSpPr txBox="1">
          <a:spLocks noChangeArrowheads="1"/>
        </xdr:cNvSpPr>
      </xdr:nvSpPr>
      <xdr:spPr bwMode="auto">
        <a:xfrm>
          <a:off x="400050" y="1137285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39" name="Text Box 95"/>
        <xdr:cNvSpPr txBox="1">
          <a:spLocks noChangeArrowheads="1"/>
        </xdr:cNvSpPr>
      </xdr:nvSpPr>
      <xdr:spPr bwMode="auto">
        <a:xfrm>
          <a:off x="4324350" y="1168717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40" name="Text Box 96"/>
        <xdr:cNvSpPr txBox="1">
          <a:spLocks noChangeArrowheads="1"/>
        </xdr:cNvSpPr>
      </xdr:nvSpPr>
      <xdr:spPr bwMode="auto">
        <a:xfrm>
          <a:off x="400050" y="123158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41" name="Text Box 97"/>
        <xdr:cNvSpPr txBox="1">
          <a:spLocks noChangeArrowheads="1"/>
        </xdr:cNvSpPr>
      </xdr:nvSpPr>
      <xdr:spPr bwMode="auto">
        <a:xfrm>
          <a:off x="400050" y="123158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6246" name="Text Box 102"/>
        <xdr:cNvSpPr txBox="1">
          <a:spLocks noChangeArrowheads="1"/>
        </xdr:cNvSpPr>
      </xdr:nvSpPr>
      <xdr:spPr bwMode="auto">
        <a:xfrm>
          <a:off x="4324350" y="126301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22</xdr:row>
      <xdr:rowOff>57150</xdr:rowOff>
    </xdr:from>
    <xdr:to>
      <xdr:col>7</xdr:col>
      <xdr:colOff>0</xdr:colOff>
      <xdr:row>22</xdr:row>
      <xdr:rowOff>285750</xdr:rowOff>
    </xdr:to>
    <xdr:sp macro="" textlink="">
      <xdr:nvSpPr>
        <xdr:cNvPr id="6253" name="Text Box 109"/>
        <xdr:cNvSpPr txBox="1">
          <a:spLocks noChangeArrowheads="1"/>
        </xdr:cNvSpPr>
      </xdr:nvSpPr>
      <xdr:spPr bwMode="auto">
        <a:xfrm>
          <a:off x="4286250" y="16402050"/>
          <a:ext cx="4191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GPa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18</xdr:row>
      <xdr:rowOff>57150</xdr:rowOff>
    </xdr:from>
    <xdr:to>
      <xdr:col>7</xdr:col>
      <xdr:colOff>0</xdr:colOff>
      <xdr:row>19</xdr:row>
      <xdr:rowOff>0</xdr:rowOff>
    </xdr:to>
    <xdr:sp macro="" textlink="">
      <xdr:nvSpPr>
        <xdr:cNvPr id="108" name="Text Box 95"/>
        <xdr:cNvSpPr txBox="1">
          <a:spLocks noChangeArrowheads="1"/>
        </xdr:cNvSpPr>
      </xdr:nvSpPr>
      <xdr:spPr bwMode="auto">
        <a:xfrm>
          <a:off x="4324350" y="1168717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09" name="Text Box 96"/>
        <xdr:cNvSpPr txBox="1">
          <a:spLocks noChangeArrowheads="1"/>
        </xdr:cNvSpPr>
      </xdr:nvSpPr>
      <xdr:spPr bwMode="auto">
        <a:xfrm>
          <a:off x="400050" y="123158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10" name="Text Box 97"/>
        <xdr:cNvSpPr txBox="1">
          <a:spLocks noChangeArrowheads="1"/>
        </xdr:cNvSpPr>
      </xdr:nvSpPr>
      <xdr:spPr bwMode="auto">
        <a:xfrm>
          <a:off x="400050" y="123158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19</xdr:row>
      <xdr:rowOff>0</xdr:rowOff>
    </xdr:to>
    <xdr:sp macro="" textlink="">
      <xdr:nvSpPr>
        <xdr:cNvPr id="115" name="Text Box 102"/>
        <xdr:cNvSpPr txBox="1">
          <a:spLocks noChangeArrowheads="1"/>
        </xdr:cNvSpPr>
      </xdr:nvSpPr>
      <xdr:spPr bwMode="auto">
        <a:xfrm>
          <a:off x="4324350" y="126301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123" name="Text Box 102"/>
        <xdr:cNvSpPr txBox="1">
          <a:spLocks noChangeArrowheads="1"/>
        </xdr:cNvSpPr>
      </xdr:nvSpPr>
      <xdr:spPr bwMode="auto">
        <a:xfrm>
          <a:off x="3133725" y="1450657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2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35</xdr:row>
      <xdr:rowOff>0</xdr:rowOff>
    </xdr:from>
    <xdr:to>
      <xdr:col>7</xdr:col>
      <xdr:colOff>0</xdr:colOff>
      <xdr:row>35</xdr:row>
      <xdr:rowOff>0</xdr:rowOff>
    </xdr:to>
    <xdr:sp macro="" textlink="">
      <xdr:nvSpPr>
        <xdr:cNvPr id="3" name="Text Box 109"/>
        <xdr:cNvSpPr txBox="1">
          <a:spLocks noChangeArrowheads="1"/>
        </xdr:cNvSpPr>
      </xdr:nvSpPr>
      <xdr:spPr bwMode="auto">
        <a:xfrm>
          <a:off x="4286250" y="16402050"/>
          <a:ext cx="4191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GPa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0</xdr:colOff>
      <xdr:row>33</xdr:row>
      <xdr:rowOff>57150</xdr:rowOff>
    </xdr:from>
    <xdr:to>
      <xdr:col>7</xdr:col>
      <xdr:colOff>0</xdr:colOff>
      <xdr:row>34</xdr:row>
      <xdr:rowOff>0</xdr:rowOff>
    </xdr:to>
    <xdr:sp macro="" textlink="">
      <xdr:nvSpPr>
        <xdr:cNvPr id="5" name="Text Box 95"/>
        <xdr:cNvSpPr txBox="1">
          <a:spLocks noChangeArrowheads="1"/>
        </xdr:cNvSpPr>
      </xdr:nvSpPr>
      <xdr:spPr bwMode="auto">
        <a:xfrm>
          <a:off x="4324350" y="1168717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6" name="Text Box 96"/>
        <xdr:cNvSpPr txBox="1">
          <a:spLocks noChangeArrowheads="1"/>
        </xdr:cNvSpPr>
      </xdr:nvSpPr>
      <xdr:spPr bwMode="auto">
        <a:xfrm>
          <a:off x="400050" y="123158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400050" y="123158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8" name="Text Box 102"/>
        <xdr:cNvSpPr txBox="1">
          <a:spLocks noChangeArrowheads="1"/>
        </xdr:cNvSpPr>
      </xdr:nvSpPr>
      <xdr:spPr bwMode="auto">
        <a:xfrm>
          <a:off x="4324350" y="126301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180975</xdr:colOff>
      <xdr:row>12</xdr:row>
      <xdr:rowOff>19050</xdr:rowOff>
    </xdr:from>
    <xdr:to>
      <xdr:col>16</xdr:col>
      <xdr:colOff>619125</xdr:colOff>
      <xdr:row>12</xdr:row>
      <xdr:rowOff>19050</xdr:rowOff>
    </xdr:to>
    <xdr:sp macro="" textlink="">
      <xdr:nvSpPr>
        <xdr:cNvPr id="51234" name="Line 104"/>
        <xdr:cNvSpPr>
          <a:spLocks noChangeShapeType="1"/>
        </xdr:cNvSpPr>
      </xdr:nvSpPr>
      <xdr:spPr bwMode="auto">
        <a:xfrm>
          <a:off x="1876425" y="35433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304800</xdr:colOff>
      <xdr:row>12</xdr:row>
      <xdr:rowOff>171450</xdr:rowOff>
    </xdr:from>
    <xdr:to>
      <xdr:col>13</xdr:col>
      <xdr:colOff>409575</xdr:colOff>
      <xdr:row>13</xdr:row>
      <xdr:rowOff>9525</xdr:rowOff>
    </xdr:to>
    <xdr:sp macro="" textlink="">
      <xdr:nvSpPr>
        <xdr:cNvPr id="51235" name="Line 105"/>
        <xdr:cNvSpPr>
          <a:spLocks noChangeShapeType="1"/>
        </xdr:cNvSpPr>
      </xdr:nvSpPr>
      <xdr:spPr bwMode="auto">
        <a:xfrm>
          <a:off x="1571625" y="3695700"/>
          <a:ext cx="1047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11</xdr:row>
      <xdr:rowOff>0</xdr:rowOff>
    </xdr:from>
    <xdr:to>
      <xdr:col>14</xdr:col>
      <xdr:colOff>85725</xdr:colOff>
      <xdr:row>13</xdr:row>
      <xdr:rowOff>9525</xdr:rowOff>
    </xdr:to>
    <xdr:sp macro="" textlink="">
      <xdr:nvSpPr>
        <xdr:cNvPr id="51236" name="Line 106"/>
        <xdr:cNvSpPr>
          <a:spLocks noChangeShapeType="1"/>
        </xdr:cNvSpPr>
      </xdr:nvSpPr>
      <xdr:spPr bwMode="auto">
        <a:xfrm flipV="1">
          <a:off x="1676400" y="3209925"/>
          <a:ext cx="10477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95250</xdr:colOff>
      <xdr:row>11</xdr:row>
      <xdr:rowOff>9525</xdr:rowOff>
    </xdr:from>
    <xdr:to>
      <xdr:col>16</xdr:col>
      <xdr:colOff>323850</xdr:colOff>
      <xdr:row>11</xdr:row>
      <xdr:rowOff>9525</xdr:rowOff>
    </xdr:to>
    <xdr:sp macro="" textlink="">
      <xdr:nvSpPr>
        <xdr:cNvPr id="51237" name="Line 107"/>
        <xdr:cNvSpPr>
          <a:spLocks noChangeShapeType="1"/>
        </xdr:cNvSpPr>
      </xdr:nvSpPr>
      <xdr:spPr bwMode="auto">
        <a:xfrm>
          <a:off x="1790700" y="3219450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352425</xdr:colOff>
      <xdr:row>11</xdr:row>
      <xdr:rowOff>76200</xdr:rowOff>
    </xdr:from>
    <xdr:to>
      <xdr:col>14</xdr:col>
      <xdr:colOff>200025</xdr:colOff>
      <xdr:row>11</xdr:row>
      <xdr:rowOff>295275</xdr:rowOff>
    </xdr:to>
    <xdr:sp macro="" textlink="">
      <xdr:nvSpPr>
        <xdr:cNvPr id="128" name="Text Box 108"/>
        <xdr:cNvSpPr txBox="1">
          <a:spLocks noChangeArrowheads="1"/>
        </xdr:cNvSpPr>
      </xdr:nvSpPr>
      <xdr:spPr bwMode="auto">
        <a:xfrm>
          <a:off x="352425" y="5438775"/>
          <a:ext cx="276225" cy="2190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22</xdr:col>
      <xdr:colOff>9525</xdr:colOff>
      <xdr:row>13</xdr:row>
      <xdr:rowOff>57150</xdr:rowOff>
    </xdr:from>
    <xdr:to>
      <xdr:col>23</xdr:col>
      <xdr:colOff>0</xdr:colOff>
      <xdr:row>13</xdr:row>
      <xdr:rowOff>285750</xdr:rowOff>
    </xdr:to>
    <xdr:sp macro="" textlink="">
      <xdr:nvSpPr>
        <xdr:cNvPr id="129" name="Text Box 109"/>
        <xdr:cNvSpPr txBox="1">
          <a:spLocks noChangeArrowheads="1"/>
        </xdr:cNvSpPr>
      </xdr:nvSpPr>
      <xdr:spPr bwMode="auto">
        <a:xfrm>
          <a:off x="4286250" y="6048375"/>
          <a:ext cx="4191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GPa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9525</xdr:colOff>
      <xdr:row>9</xdr:row>
      <xdr:rowOff>180975</xdr:rowOff>
    </xdr:from>
    <xdr:to>
      <xdr:col>14</xdr:col>
      <xdr:colOff>95250</xdr:colOff>
      <xdr:row>10</xdr:row>
      <xdr:rowOff>0</xdr:rowOff>
    </xdr:to>
    <xdr:sp macro="" textlink="">
      <xdr:nvSpPr>
        <xdr:cNvPr id="51240" name="Line 90"/>
        <xdr:cNvSpPr>
          <a:spLocks noChangeShapeType="1"/>
        </xdr:cNvSpPr>
      </xdr:nvSpPr>
      <xdr:spPr bwMode="auto">
        <a:xfrm>
          <a:off x="1704975" y="2762250"/>
          <a:ext cx="85725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104775</xdr:colOff>
      <xdr:row>8</xdr:row>
      <xdr:rowOff>0</xdr:rowOff>
    </xdr:from>
    <xdr:to>
      <xdr:col>14</xdr:col>
      <xdr:colOff>209550</xdr:colOff>
      <xdr:row>10</xdr:row>
      <xdr:rowOff>0</xdr:rowOff>
    </xdr:to>
    <xdr:sp macro="" textlink="">
      <xdr:nvSpPr>
        <xdr:cNvPr id="51241" name="Line 91"/>
        <xdr:cNvSpPr>
          <a:spLocks noChangeShapeType="1"/>
        </xdr:cNvSpPr>
      </xdr:nvSpPr>
      <xdr:spPr bwMode="auto">
        <a:xfrm flipV="1">
          <a:off x="1800225" y="2247900"/>
          <a:ext cx="1047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219075</xdr:colOff>
      <xdr:row>8</xdr:row>
      <xdr:rowOff>9525</xdr:rowOff>
    </xdr:from>
    <xdr:to>
      <xdr:col>16</xdr:col>
      <xdr:colOff>57150</xdr:colOff>
      <xdr:row>8</xdr:row>
      <xdr:rowOff>9525</xdr:rowOff>
    </xdr:to>
    <xdr:sp macro="" textlink="">
      <xdr:nvSpPr>
        <xdr:cNvPr id="51242" name="Line 92"/>
        <xdr:cNvSpPr>
          <a:spLocks noChangeShapeType="1"/>
        </xdr:cNvSpPr>
      </xdr:nvSpPr>
      <xdr:spPr bwMode="auto">
        <a:xfrm>
          <a:off x="1914525" y="2257425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209550</xdr:colOff>
      <xdr:row>9</xdr:row>
      <xdr:rowOff>9525</xdr:rowOff>
    </xdr:from>
    <xdr:to>
      <xdr:col>15</xdr:col>
      <xdr:colOff>314325</xdr:colOff>
      <xdr:row>9</xdr:row>
      <xdr:rowOff>9525</xdr:rowOff>
    </xdr:to>
    <xdr:sp macro="" textlink="">
      <xdr:nvSpPr>
        <xdr:cNvPr id="51243" name="Line 93"/>
        <xdr:cNvSpPr>
          <a:spLocks noChangeShapeType="1"/>
        </xdr:cNvSpPr>
      </xdr:nvSpPr>
      <xdr:spPr bwMode="auto">
        <a:xfrm>
          <a:off x="1905000" y="25908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400050</xdr:colOff>
      <xdr:row>8</xdr:row>
      <xdr:rowOff>57150</xdr:rowOff>
    </xdr:from>
    <xdr:to>
      <xdr:col>14</xdr:col>
      <xdr:colOff>304800</xdr:colOff>
      <xdr:row>9</xdr:row>
      <xdr:rowOff>38100</xdr:rowOff>
    </xdr:to>
    <xdr:sp macro="" textlink="">
      <xdr:nvSpPr>
        <xdr:cNvPr id="134" name="Text Box 94"/>
        <xdr:cNvSpPr txBox="1">
          <a:spLocks noChangeArrowheads="1"/>
        </xdr:cNvSpPr>
      </xdr:nvSpPr>
      <xdr:spPr bwMode="auto">
        <a:xfrm>
          <a:off x="400050" y="447675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22</xdr:col>
      <xdr:colOff>47625</xdr:colOff>
      <xdr:row>9</xdr:row>
      <xdr:rowOff>57150</xdr:rowOff>
    </xdr:from>
    <xdr:to>
      <xdr:col>23</xdr:col>
      <xdr:colOff>9525</xdr:colOff>
      <xdr:row>10</xdr:row>
      <xdr:rowOff>0</xdr:rowOff>
    </xdr:to>
    <xdr:sp macro="" textlink="">
      <xdr:nvSpPr>
        <xdr:cNvPr id="135" name="Text Box 95"/>
        <xdr:cNvSpPr txBox="1">
          <a:spLocks noChangeArrowheads="1"/>
        </xdr:cNvSpPr>
      </xdr:nvSpPr>
      <xdr:spPr bwMode="auto">
        <a:xfrm>
          <a:off x="4324350" y="4791075"/>
          <a:ext cx="390525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400050</xdr:colOff>
      <xdr:row>10</xdr:row>
      <xdr:rowOff>0</xdr:rowOff>
    </xdr:from>
    <xdr:to>
      <xdr:col>14</xdr:col>
      <xdr:colOff>304800</xdr:colOff>
      <xdr:row>10</xdr:row>
      <xdr:rowOff>0</xdr:rowOff>
    </xdr:to>
    <xdr:sp macro="" textlink="">
      <xdr:nvSpPr>
        <xdr:cNvPr id="136" name="Text Box 96"/>
        <xdr:cNvSpPr txBox="1">
          <a:spLocks noChangeArrowheads="1"/>
        </xdr:cNvSpPr>
      </xdr:nvSpPr>
      <xdr:spPr bwMode="auto">
        <a:xfrm>
          <a:off x="400050" y="5048250"/>
          <a:ext cx="3333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13</xdr:col>
      <xdr:colOff>400050</xdr:colOff>
      <xdr:row>10</xdr:row>
      <xdr:rowOff>0</xdr:rowOff>
    </xdr:from>
    <xdr:to>
      <xdr:col>14</xdr:col>
      <xdr:colOff>304800</xdr:colOff>
      <xdr:row>10</xdr:row>
      <xdr:rowOff>0</xdr:rowOff>
    </xdr:to>
    <xdr:sp macro="" textlink="">
      <xdr:nvSpPr>
        <xdr:cNvPr id="137" name="Text Box 97"/>
        <xdr:cNvSpPr txBox="1">
          <a:spLocks noChangeArrowheads="1"/>
        </xdr:cNvSpPr>
      </xdr:nvSpPr>
      <xdr:spPr bwMode="auto">
        <a:xfrm>
          <a:off x="400050" y="5048250"/>
          <a:ext cx="3333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22</xdr:col>
      <xdr:colOff>47625</xdr:colOff>
      <xdr:row>10</xdr:row>
      <xdr:rowOff>0</xdr:rowOff>
    </xdr:from>
    <xdr:to>
      <xdr:col>23</xdr:col>
      <xdr:colOff>9525</xdr:colOff>
      <xdr:row>10</xdr:row>
      <xdr:rowOff>0</xdr:rowOff>
    </xdr:to>
    <xdr:sp macro="" textlink="">
      <xdr:nvSpPr>
        <xdr:cNvPr id="138" name="Text Box 102"/>
        <xdr:cNvSpPr txBox="1">
          <a:spLocks noChangeArrowheads="1"/>
        </xdr:cNvSpPr>
      </xdr:nvSpPr>
      <xdr:spPr bwMode="auto">
        <a:xfrm>
          <a:off x="4324350" y="5048250"/>
          <a:ext cx="39052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180975</xdr:colOff>
      <xdr:row>27</xdr:row>
      <xdr:rowOff>19050</xdr:rowOff>
    </xdr:from>
    <xdr:to>
      <xdr:col>16</xdr:col>
      <xdr:colOff>619125</xdr:colOff>
      <xdr:row>27</xdr:row>
      <xdr:rowOff>19050</xdr:rowOff>
    </xdr:to>
    <xdr:sp macro="" textlink="">
      <xdr:nvSpPr>
        <xdr:cNvPr id="51249" name="Line 104"/>
        <xdr:cNvSpPr>
          <a:spLocks noChangeShapeType="1"/>
        </xdr:cNvSpPr>
      </xdr:nvSpPr>
      <xdr:spPr bwMode="auto">
        <a:xfrm>
          <a:off x="1876425" y="82581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304800</xdr:colOff>
      <xdr:row>27</xdr:row>
      <xdr:rowOff>171450</xdr:rowOff>
    </xdr:from>
    <xdr:to>
      <xdr:col>13</xdr:col>
      <xdr:colOff>409575</xdr:colOff>
      <xdr:row>28</xdr:row>
      <xdr:rowOff>9525</xdr:rowOff>
    </xdr:to>
    <xdr:sp macro="" textlink="">
      <xdr:nvSpPr>
        <xdr:cNvPr id="51250" name="Line 105"/>
        <xdr:cNvSpPr>
          <a:spLocks noChangeShapeType="1"/>
        </xdr:cNvSpPr>
      </xdr:nvSpPr>
      <xdr:spPr bwMode="auto">
        <a:xfrm>
          <a:off x="1571625" y="8410575"/>
          <a:ext cx="1047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409575</xdr:colOff>
      <xdr:row>26</xdr:row>
      <xdr:rowOff>0</xdr:rowOff>
    </xdr:from>
    <xdr:to>
      <xdr:col>14</xdr:col>
      <xdr:colOff>85725</xdr:colOff>
      <xdr:row>28</xdr:row>
      <xdr:rowOff>9525</xdr:rowOff>
    </xdr:to>
    <xdr:sp macro="" textlink="">
      <xdr:nvSpPr>
        <xdr:cNvPr id="51251" name="Line 106"/>
        <xdr:cNvSpPr>
          <a:spLocks noChangeShapeType="1"/>
        </xdr:cNvSpPr>
      </xdr:nvSpPr>
      <xdr:spPr bwMode="auto">
        <a:xfrm flipV="1">
          <a:off x="1676400" y="7924800"/>
          <a:ext cx="10477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95250</xdr:colOff>
      <xdr:row>26</xdr:row>
      <xdr:rowOff>9525</xdr:rowOff>
    </xdr:from>
    <xdr:to>
      <xdr:col>16</xdr:col>
      <xdr:colOff>323850</xdr:colOff>
      <xdr:row>26</xdr:row>
      <xdr:rowOff>9525</xdr:rowOff>
    </xdr:to>
    <xdr:sp macro="" textlink="">
      <xdr:nvSpPr>
        <xdr:cNvPr id="51252" name="Line 107"/>
        <xdr:cNvSpPr>
          <a:spLocks noChangeShapeType="1"/>
        </xdr:cNvSpPr>
      </xdr:nvSpPr>
      <xdr:spPr bwMode="auto">
        <a:xfrm>
          <a:off x="1790700" y="7934325"/>
          <a:ext cx="108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352425</xdr:colOff>
      <xdr:row>26</xdr:row>
      <xdr:rowOff>76200</xdr:rowOff>
    </xdr:from>
    <xdr:to>
      <xdr:col>14</xdr:col>
      <xdr:colOff>200025</xdr:colOff>
      <xdr:row>26</xdr:row>
      <xdr:rowOff>295275</xdr:rowOff>
    </xdr:to>
    <xdr:sp macro="" textlink="">
      <xdr:nvSpPr>
        <xdr:cNvPr id="143" name="Text Box 108"/>
        <xdr:cNvSpPr txBox="1">
          <a:spLocks noChangeArrowheads="1"/>
        </xdr:cNvSpPr>
      </xdr:nvSpPr>
      <xdr:spPr bwMode="auto">
        <a:xfrm>
          <a:off x="352425" y="10153650"/>
          <a:ext cx="276225" cy="2190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22</xdr:col>
      <xdr:colOff>9525</xdr:colOff>
      <xdr:row>28</xdr:row>
      <xdr:rowOff>57150</xdr:rowOff>
    </xdr:from>
    <xdr:to>
      <xdr:col>23</xdr:col>
      <xdr:colOff>0</xdr:colOff>
      <xdr:row>29</xdr:row>
      <xdr:rowOff>0</xdr:rowOff>
    </xdr:to>
    <xdr:sp macro="" textlink="">
      <xdr:nvSpPr>
        <xdr:cNvPr id="144" name="Text Box 109"/>
        <xdr:cNvSpPr txBox="1">
          <a:spLocks noChangeArrowheads="1"/>
        </xdr:cNvSpPr>
      </xdr:nvSpPr>
      <xdr:spPr bwMode="auto">
        <a:xfrm>
          <a:off x="4286250" y="10763250"/>
          <a:ext cx="4191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GPa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9525</xdr:colOff>
      <xdr:row>24</xdr:row>
      <xdr:rowOff>180975</xdr:rowOff>
    </xdr:from>
    <xdr:to>
      <xdr:col>14</xdr:col>
      <xdr:colOff>95250</xdr:colOff>
      <xdr:row>25</xdr:row>
      <xdr:rowOff>0</xdr:rowOff>
    </xdr:to>
    <xdr:sp macro="" textlink="">
      <xdr:nvSpPr>
        <xdr:cNvPr id="51255" name="Line 90"/>
        <xdr:cNvSpPr>
          <a:spLocks noChangeShapeType="1"/>
        </xdr:cNvSpPr>
      </xdr:nvSpPr>
      <xdr:spPr bwMode="auto">
        <a:xfrm>
          <a:off x="1704975" y="7477125"/>
          <a:ext cx="85725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104775</xdr:colOff>
      <xdr:row>23</xdr:row>
      <xdr:rowOff>0</xdr:rowOff>
    </xdr:from>
    <xdr:to>
      <xdr:col>14</xdr:col>
      <xdr:colOff>209550</xdr:colOff>
      <xdr:row>25</xdr:row>
      <xdr:rowOff>0</xdr:rowOff>
    </xdr:to>
    <xdr:sp macro="" textlink="">
      <xdr:nvSpPr>
        <xdr:cNvPr id="51256" name="Line 91"/>
        <xdr:cNvSpPr>
          <a:spLocks noChangeShapeType="1"/>
        </xdr:cNvSpPr>
      </xdr:nvSpPr>
      <xdr:spPr bwMode="auto">
        <a:xfrm flipV="1">
          <a:off x="1800225" y="6981825"/>
          <a:ext cx="104775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219075</xdr:colOff>
      <xdr:row>23</xdr:row>
      <xdr:rowOff>9525</xdr:rowOff>
    </xdr:from>
    <xdr:to>
      <xdr:col>16</xdr:col>
      <xdr:colOff>57150</xdr:colOff>
      <xdr:row>23</xdr:row>
      <xdr:rowOff>9525</xdr:rowOff>
    </xdr:to>
    <xdr:sp macro="" textlink="">
      <xdr:nvSpPr>
        <xdr:cNvPr id="51257" name="Line 92"/>
        <xdr:cNvSpPr>
          <a:spLocks noChangeShapeType="1"/>
        </xdr:cNvSpPr>
      </xdr:nvSpPr>
      <xdr:spPr bwMode="auto">
        <a:xfrm>
          <a:off x="1914525" y="6991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209550</xdr:colOff>
      <xdr:row>24</xdr:row>
      <xdr:rowOff>9525</xdr:rowOff>
    </xdr:from>
    <xdr:to>
      <xdr:col>15</xdr:col>
      <xdr:colOff>314325</xdr:colOff>
      <xdr:row>24</xdr:row>
      <xdr:rowOff>9525</xdr:rowOff>
    </xdr:to>
    <xdr:sp macro="" textlink="">
      <xdr:nvSpPr>
        <xdr:cNvPr id="51258" name="Line 93"/>
        <xdr:cNvSpPr>
          <a:spLocks noChangeShapeType="1"/>
        </xdr:cNvSpPr>
      </xdr:nvSpPr>
      <xdr:spPr bwMode="auto">
        <a:xfrm>
          <a:off x="1905000" y="73056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400050</xdr:colOff>
      <xdr:row>23</xdr:row>
      <xdr:rowOff>57150</xdr:rowOff>
    </xdr:from>
    <xdr:to>
      <xdr:col>14</xdr:col>
      <xdr:colOff>304800</xdr:colOff>
      <xdr:row>24</xdr:row>
      <xdr:rowOff>38100</xdr:rowOff>
    </xdr:to>
    <xdr:sp macro="" textlink="">
      <xdr:nvSpPr>
        <xdr:cNvPr id="149" name="Text Box 94"/>
        <xdr:cNvSpPr txBox="1">
          <a:spLocks noChangeArrowheads="1"/>
        </xdr:cNvSpPr>
      </xdr:nvSpPr>
      <xdr:spPr bwMode="auto">
        <a:xfrm>
          <a:off x="400050" y="91916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22</xdr:col>
      <xdr:colOff>47625</xdr:colOff>
      <xdr:row>24</xdr:row>
      <xdr:rowOff>57150</xdr:rowOff>
    </xdr:from>
    <xdr:to>
      <xdr:col>23</xdr:col>
      <xdr:colOff>9525</xdr:colOff>
      <xdr:row>25</xdr:row>
      <xdr:rowOff>0</xdr:rowOff>
    </xdr:to>
    <xdr:sp macro="" textlink="">
      <xdr:nvSpPr>
        <xdr:cNvPr id="150" name="Text Box 95"/>
        <xdr:cNvSpPr txBox="1">
          <a:spLocks noChangeArrowheads="1"/>
        </xdr:cNvSpPr>
      </xdr:nvSpPr>
      <xdr:spPr bwMode="auto">
        <a:xfrm>
          <a:off x="4324350" y="9505950"/>
          <a:ext cx="390525" cy="257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400050</xdr:colOff>
      <xdr:row>25</xdr:row>
      <xdr:rowOff>0</xdr:rowOff>
    </xdr:from>
    <xdr:to>
      <xdr:col>14</xdr:col>
      <xdr:colOff>304800</xdr:colOff>
      <xdr:row>25</xdr:row>
      <xdr:rowOff>0</xdr:rowOff>
    </xdr:to>
    <xdr:sp macro="" textlink="">
      <xdr:nvSpPr>
        <xdr:cNvPr id="151" name="Text Box 96"/>
        <xdr:cNvSpPr txBox="1">
          <a:spLocks noChangeArrowheads="1"/>
        </xdr:cNvSpPr>
      </xdr:nvSpPr>
      <xdr:spPr bwMode="auto">
        <a:xfrm>
          <a:off x="400050" y="9763125"/>
          <a:ext cx="3333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13</xdr:col>
      <xdr:colOff>400050</xdr:colOff>
      <xdr:row>25</xdr:row>
      <xdr:rowOff>0</xdr:rowOff>
    </xdr:from>
    <xdr:to>
      <xdr:col>14</xdr:col>
      <xdr:colOff>304800</xdr:colOff>
      <xdr:row>25</xdr:row>
      <xdr:rowOff>0</xdr:rowOff>
    </xdr:to>
    <xdr:sp macro="" textlink="">
      <xdr:nvSpPr>
        <xdr:cNvPr id="152" name="Text Box 97"/>
        <xdr:cNvSpPr txBox="1">
          <a:spLocks noChangeArrowheads="1"/>
        </xdr:cNvSpPr>
      </xdr:nvSpPr>
      <xdr:spPr bwMode="auto">
        <a:xfrm>
          <a:off x="400050" y="9763125"/>
          <a:ext cx="33337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22</xdr:col>
      <xdr:colOff>47625</xdr:colOff>
      <xdr:row>25</xdr:row>
      <xdr:rowOff>0</xdr:rowOff>
    </xdr:from>
    <xdr:to>
      <xdr:col>23</xdr:col>
      <xdr:colOff>9525</xdr:colOff>
      <xdr:row>25</xdr:row>
      <xdr:rowOff>0</xdr:rowOff>
    </xdr:to>
    <xdr:sp macro="" textlink="">
      <xdr:nvSpPr>
        <xdr:cNvPr id="153" name="Text Box 102"/>
        <xdr:cNvSpPr txBox="1">
          <a:spLocks noChangeArrowheads="1"/>
        </xdr:cNvSpPr>
      </xdr:nvSpPr>
      <xdr:spPr bwMode="auto">
        <a:xfrm>
          <a:off x="4324350" y="9763125"/>
          <a:ext cx="390525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49136" name="直線コネクタ 8"/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Text Box 87"/>
        <xdr:cNvSpPr txBox="1">
          <a:spLocks noChangeArrowheads="1"/>
        </xdr:cNvSpPr>
      </xdr:nvSpPr>
      <xdr:spPr bwMode="auto">
        <a:xfrm>
          <a:off x="4648200" y="255270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cxnSp macro="">
      <xdr:nvCxnSpPr>
        <xdr:cNvPr id="49138" name="直線コネクタ 12"/>
        <xdr:cNvCxnSpPr>
          <a:cxnSpLocks noChangeShapeType="1"/>
        </xdr:cNvCxnSpPr>
      </xdr:nvCxnSpPr>
      <xdr:spPr bwMode="auto">
        <a:xfrm>
          <a:off x="0" y="0"/>
          <a:ext cx="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Text Box 87"/>
        <xdr:cNvSpPr txBox="1">
          <a:spLocks noChangeArrowheads="1"/>
        </xdr:cNvSpPr>
      </xdr:nvSpPr>
      <xdr:spPr bwMode="auto">
        <a:xfrm>
          <a:off x="4838700" y="255270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 Box 87"/>
        <xdr:cNvSpPr txBox="1">
          <a:spLocks noChangeArrowheads="1"/>
        </xdr:cNvSpPr>
      </xdr:nvSpPr>
      <xdr:spPr bwMode="auto">
        <a:xfrm>
          <a:off x="4895850" y="537210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141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39" name="Text Box 7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40" name="Text Box 8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41" name="Text Box 9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145" name="Line 1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146" name="Line 1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Text Box 87"/>
        <xdr:cNvSpPr txBox="1">
          <a:spLocks noChangeArrowheads="1"/>
        </xdr:cNvSpPr>
      </xdr:nvSpPr>
      <xdr:spPr bwMode="auto">
        <a:xfrm>
          <a:off x="4838700" y="255270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49148" name="Line 13"/>
        <xdr:cNvSpPr>
          <a:spLocks noChangeShapeType="1"/>
        </xdr:cNvSpPr>
      </xdr:nvSpPr>
      <xdr:spPr bwMode="auto">
        <a:xfrm>
          <a:off x="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49149" name="Line 14"/>
        <xdr:cNvSpPr>
          <a:spLocks noChangeShapeType="1"/>
        </xdr:cNvSpPr>
      </xdr:nvSpPr>
      <xdr:spPr bwMode="auto">
        <a:xfrm>
          <a:off x="0" y="2200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400050</xdr:colOff>
      <xdr:row>4</xdr:row>
      <xdr:rowOff>0</xdr:rowOff>
    </xdr:from>
    <xdr:to>
      <xdr:col>14</xdr:col>
      <xdr:colOff>304800</xdr:colOff>
      <xdr:row>4</xdr:row>
      <xdr:rowOff>0</xdr:rowOff>
    </xdr:to>
    <xdr:sp macro="" textlink="">
      <xdr:nvSpPr>
        <xdr:cNvPr id="6238" name="Text Box 94"/>
        <xdr:cNvSpPr txBox="1">
          <a:spLocks noChangeArrowheads="1"/>
        </xdr:cNvSpPr>
      </xdr:nvSpPr>
      <xdr:spPr bwMode="auto">
        <a:xfrm>
          <a:off x="400050" y="1137285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22</xdr:col>
      <xdr:colOff>47625</xdr:colOff>
      <xdr:row>4</xdr:row>
      <xdr:rowOff>0</xdr:rowOff>
    </xdr:from>
    <xdr:to>
      <xdr:col>23</xdr:col>
      <xdr:colOff>9525</xdr:colOff>
      <xdr:row>4</xdr:row>
      <xdr:rowOff>0</xdr:rowOff>
    </xdr:to>
    <xdr:sp macro="" textlink="">
      <xdr:nvSpPr>
        <xdr:cNvPr id="6239" name="Text Box 95"/>
        <xdr:cNvSpPr txBox="1">
          <a:spLocks noChangeArrowheads="1"/>
        </xdr:cNvSpPr>
      </xdr:nvSpPr>
      <xdr:spPr bwMode="auto">
        <a:xfrm>
          <a:off x="4324350" y="1168717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0</xdr:colOff>
      <xdr:row>13</xdr:row>
      <xdr:rowOff>19050</xdr:rowOff>
    </xdr:from>
    <xdr:to>
      <xdr:col>13</xdr:col>
      <xdr:colOff>0</xdr:colOff>
      <xdr:row>13</xdr:row>
      <xdr:rowOff>19050</xdr:rowOff>
    </xdr:to>
    <xdr:sp macro="" textlink="">
      <xdr:nvSpPr>
        <xdr:cNvPr id="52224" name="Line 104"/>
        <xdr:cNvSpPr>
          <a:spLocks noChangeShapeType="1"/>
        </xdr:cNvSpPr>
      </xdr:nvSpPr>
      <xdr:spPr bwMode="auto">
        <a:xfrm>
          <a:off x="6781800" y="410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12</xdr:row>
      <xdr:rowOff>9525</xdr:rowOff>
    </xdr:from>
    <xdr:to>
      <xdr:col>13</xdr:col>
      <xdr:colOff>0</xdr:colOff>
      <xdr:row>12</xdr:row>
      <xdr:rowOff>9525</xdr:rowOff>
    </xdr:to>
    <xdr:sp macro="" textlink="">
      <xdr:nvSpPr>
        <xdr:cNvPr id="52225" name="Line 107"/>
        <xdr:cNvSpPr>
          <a:spLocks noChangeShapeType="1"/>
        </xdr:cNvSpPr>
      </xdr:nvSpPr>
      <xdr:spPr bwMode="auto">
        <a:xfrm>
          <a:off x="6781800" y="3781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12</xdr:row>
      <xdr:rowOff>76200</xdr:rowOff>
    </xdr:from>
    <xdr:to>
      <xdr:col>13</xdr:col>
      <xdr:colOff>0</xdr:colOff>
      <xdr:row>12</xdr:row>
      <xdr:rowOff>295275</xdr:rowOff>
    </xdr:to>
    <xdr:sp macro="" textlink="">
      <xdr:nvSpPr>
        <xdr:cNvPr id="6252" name="Text Box 108"/>
        <xdr:cNvSpPr txBox="1">
          <a:spLocks noChangeArrowheads="1"/>
        </xdr:cNvSpPr>
      </xdr:nvSpPr>
      <xdr:spPr bwMode="auto">
        <a:xfrm>
          <a:off x="352425" y="15792450"/>
          <a:ext cx="276225" cy="2190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13</xdr:col>
      <xdr:colOff>0</xdr:colOff>
      <xdr:row>14</xdr:row>
      <xdr:rowOff>57150</xdr:rowOff>
    </xdr:from>
    <xdr:to>
      <xdr:col>13</xdr:col>
      <xdr:colOff>0</xdr:colOff>
      <xdr:row>14</xdr:row>
      <xdr:rowOff>285750</xdr:rowOff>
    </xdr:to>
    <xdr:sp macro="" textlink="">
      <xdr:nvSpPr>
        <xdr:cNvPr id="6253" name="Text Box 109"/>
        <xdr:cNvSpPr txBox="1">
          <a:spLocks noChangeArrowheads="1"/>
        </xdr:cNvSpPr>
      </xdr:nvSpPr>
      <xdr:spPr bwMode="auto">
        <a:xfrm>
          <a:off x="4286250" y="16402050"/>
          <a:ext cx="4191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GPa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52228" name="Line 92"/>
        <xdr:cNvSpPr>
          <a:spLocks noChangeShapeType="1"/>
        </xdr:cNvSpPr>
      </xdr:nvSpPr>
      <xdr:spPr bwMode="auto">
        <a:xfrm>
          <a:off x="4600575" y="2200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52229" name="Line 93"/>
        <xdr:cNvSpPr>
          <a:spLocks noChangeShapeType="1"/>
        </xdr:cNvSpPr>
      </xdr:nvSpPr>
      <xdr:spPr bwMode="auto">
        <a:xfrm>
          <a:off x="4600575" y="2200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107" name="Text Box 94"/>
        <xdr:cNvSpPr txBox="1">
          <a:spLocks noChangeArrowheads="1"/>
        </xdr:cNvSpPr>
      </xdr:nvSpPr>
      <xdr:spPr bwMode="auto">
        <a:xfrm>
          <a:off x="400050" y="1137285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47625</xdr:rowOff>
    </xdr:to>
    <xdr:sp macro="" textlink="">
      <xdr:nvSpPr>
        <xdr:cNvPr id="108" name="Text Box 95"/>
        <xdr:cNvSpPr txBox="1">
          <a:spLocks noChangeArrowheads="1"/>
        </xdr:cNvSpPr>
      </xdr:nvSpPr>
      <xdr:spPr bwMode="auto">
        <a:xfrm>
          <a:off x="4324350" y="1168717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8</xdr:row>
      <xdr:rowOff>57150</xdr:rowOff>
    </xdr:from>
    <xdr:to>
      <xdr:col>9</xdr:col>
      <xdr:colOff>0</xdr:colOff>
      <xdr:row>9</xdr:row>
      <xdr:rowOff>38100</xdr:rowOff>
    </xdr:to>
    <xdr:sp macro="" textlink="">
      <xdr:nvSpPr>
        <xdr:cNvPr id="109" name="Text Box 96"/>
        <xdr:cNvSpPr txBox="1">
          <a:spLocks noChangeArrowheads="1"/>
        </xdr:cNvSpPr>
      </xdr:nvSpPr>
      <xdr:spPr bwMode="auto">
        <a:xfrm>
          <a:off x="400050" y="123158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9</xdr:col>
      <xdr:colOff>0</xdr:colOff>
      <xdr:row>8</xdr:row>
      <xdr:rowOff>57150</xdr:rowOff>
    </xdr:from>
    <xdr:to>
      <xdr:col>9</xdr:col>
      <xdr:colOff>0</xdr:colOff>
      <xdr:row>9</xdr:row>
      <xdr:rowOff>38100</xdr:rowOff>
    </xdr:to>
    <xdr:sp macro="" textlink="">
      <xdr:nvSpPr>
        <xdr:cNvPr id="110" name="Text Box 97"/>
        <xdr:cNvSpPr txBox="1">
          <a:spLocks noChangeArrowheads="1"/>
        </xdr:cNvSpPr>
      </xdr:nvSpPr>
      <xdr:spPr bwMode="auto">
        <a:xfrm>
          <a:off x="400050" y="12315825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9</xdr:col>
      <xdr:colOff>0</xdr:colOff>
      <xdr:row>8</xdr:row>
      <xdr:rowOff>0</xdr:rowOff>
    </xdr:from>
    <xdr:to>
      <xdr:col>9</xdr:col>
      <xdr:colOff>0</xdr:colOff>
      <xdr:row>8</xdr:row>
      <xdr:rowOff>0</xdr:rowOff>
    </xdr:to>
    <xdr:sp macro="" textlink="">
      <xdr:nvSpPr>
        <xdr:cNvPr id="52234" name="Line 100"/>
        <xdr:cNvSpPr>
          <a:spLocks noChangeShapeType="1"/>
        </xdr:cNvSpPr>
      </xdr:nvSpPr>
      <xdr:spPr bwMode="auto">
        <a:xfrm>
          <a:off x="4600575" y="251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0</xdr:colOff>
      <xdr:row>9</xdr:row>
      <xdr:rowOff>0</xdr:rowOff>
    </xdr:to>
    <xdr:sp macro="" textlink="">
      <xdr:nvSpPr>
        <xdr:cNvPr id="52235" name="Line 101"/>
        <xdr:cNvSpPr>
          <a:spLocks noChangeShapeType="1"/>
        </xdr:cNvSpPr>
      </xdr:nvSpPr>
      <xdr:spPr bwMode="auto">
        <a:xfrm>
          <a:off x="4600575" y="282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9</xdr:row>
      <xdr:rowOff>57150</xdr:rowOff>
    </xdr:from>
    <xdr:to>
      <xdr:col>13</xdr:col>
      <xdr:colOff>0</xdr:colOff>
      <xdr:row>10</xdr:row>
      <xdr:rowOff>47625</xdr:rowOff>
    </xdr:to>
    <xdr:sp macro="" textlink="">
      <xdr:nvSpPr>
        <xdr:cNvPr id="115" name="Text Box 102"/>
        <xdr:cNvSpPr txBox="1">
          <a:spLocks noChangeArrowheads="1"/>
        </xdr:cNvSpPr>
      </xdr:nvSpPr>
      <xdr:spPr bwMode="auto">
        <a:xfrm>
          <a:off x="4324350" y="126301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47625</xdr:colOff>
      <xdr:row>18</xdr:row>
      <xdr:rowOff>9525</xdr:rowOff>
    </xdr:from>
    <xdr:to>
      <xdr:col>4</xdr:col>
      <xdr:colOff>0</xdr:colOff>
      <xdr:row>18</xdr:row>
      <xdr:rowOff>9525</xdr:rowOff>
    </xdr:to>
    <xdr:sp macro="" textlink="">
      <xdr:nvSpPr>
        <xdr:cNvPr id="52237" name="Line 37"/>
        <xdr:cNvSpPr>
          <a:spLocks noChangeShapeType="1"/>
        </xdr:cNvSpPr>
      </xdr:nvSpPr>
      <xdr:spPr bwMode="auto">
        <a:xfrm>
          <a:off x="1133475" y="56673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21</xdr:row>
      <xdr:rowOff>38100</xdr:rowOff>
    </xdr:from>
    <xdr:to>
      <xdr:col>10</xdr:col>
      <xdr:colOff>390525</xdr:colOff>
      <xdr:row>22</xdr:row>
      <xdr:rowOff>28575</xdr:rowOff>
    </xdr:to>
    <xdr:sp macro="" textlink="">
      <xdr:nvSpPr>
        <xdr:cNvPr id="3" name="Text Box 87"/>
        <xdr:cNvSpPr txBox="1">
          <a:spLocks noChangeArrowheads="1"/>
        </xdr:cNvSpPr>
      </xdr:nvSpPr>
      <xdr:spPr bwMode="auto">
        <a:xfrm>
          <a:off x="4838700" y="255270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9525</xdr:colOff>
      <xdr:row>23</xdr:row>
      <xdr:rowOff>9525</xdr:rowOff>
    </xdr:from>
    <xdr:to>
      <xdr:col>3</xdr:col>
      <xdr:colOff>400050</xdr:colOff>
      <xdr:row>23</xdr:row>
      <xdr:rowOff>9525</xdr:rowOff>
    </xdr:to>
    <xdr:sp macro="" textlink="">
      <xdr:nvSpPr>
        <xdr:cNvPr id="52239" name="Line 39"/>
        <xdr:cNvSpPr>
          <a:spLocks noChangeShapeType="1"/>
        </xdr:cNvSpPr>
      </xdr:nvSpPr>
      <xdr:spPr bwMode="auto">
        <a:xfrm>
          <a:off x="1095375" y="72390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27</xdr:row>
      <xdr:rowOff>0</xdr:rowOff>
    </xdr:from>
    <xdr:to>
      <xdr:col>3</xdr:col>
      <xdr:colOff>400050</xdr:colOff>
      <xdr:row>27</xdr:row>
      <xdr:rowOff>0</xdr:rowOff>
    </xdr:to>
    <xdr:sp macro="" textlink="">
      <xdr:nvSpPr>
        <xdr:cNvPr id="52240" name="Line 40"/>
        <xdr:cNvSpPr>
          <a:spLocks noChangeShapeType="1"/>
        </xdr:cNvSpPr>
      </xdr:nvSpPr>
      <xdr:spPr bwMode="auto">
        <a:xfrm>
          <a:off x="1123950" y="848677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27</xdr:row>
      <xdr:rowOff>9525</xdr:rowOff>
    </xdr:from>
    <xdr:to>
      <xdr:col>3</xdr:col>
      <xdr:colOff>400050</xdr:colOff>
      <xdr:row>27</xdr:row>
      <xdr:rowOff>9525</xdr:rowOff>
    </xdr:to>
    <xdr:sp macro="" textlink="">
      <xdr:nvSpPr>
        <xdr:cNvPr id="52241" name="Line 41"/>
        <xdr:cNvSpPr>
          <a:spLocks noChangeShapeType="1"/>
        </xdr:cNvSpPr>
      </xdr:nvSpPr>
      <xdr:spPr bwMode="auto">
        <a:xfrm>
          <a:off x="1095375" y="849630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27</xdr:row>
      <xdr:rowOff>9525</xdr:rowOff>
    </xdr:from>
    <xdr:to>
      <xdr:col>5</xdr:col>
      <xdr:colOff>381000</xdr:colOff>
      <xdr:row>27</xdr:row>
      <xdr:rowOff>9525</xdr:rowOff>
    </xdr:to>
    <xdr:sp macro="" textlink="">
      <xdr:nvSpPr>
        <xdr:cNvPr id="52242" name="Line 42"/>
        <xdr:cNvSpPr>
          <a:spLocks noChangeShapeType="1"/>
        </xdr:cNvSpPr>
      </xdr:nvSpPr>
      <xdr:spPr bwMode="auto">
        <a:xfrm>
          <a:off x="2152650" y="84963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27</xdr:row>
      <xdr:rowOff>0</xdr:rowOff>
    </xdr:from>
    <xdr:to>
      <xdr:col>8</xdr:col>
      <xdr:colOff>609600</xdr:colOff>
      <xdr:row>27</xdr:row>
      <xdr:rowOff>0</xdr:rowOff>
    </xdr:to>
    <xdr:sp macro="" textlink="">
      <xdr:nvSpPr>
        <xdr:cNvPr id="52243" name="Line 43"/>
        <xdr:cNvSpPr>
          <a:spLocks noChangeShapeType="1"/>
        </xdr:cNvSpPr>
      </xdr:nvSpPr>
      <xdr:spPr bwMode="auto">
        <a:xfrm>
          <a:off x="3019425" y="8486775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28</xdr:row>
      <xdr:rowOff>28575</xdr:rowOff>
    </xdr:from>
    <xdr:to>
      <xdr:col>10</xdr:col>
      <xdr:colOff>390525</xdr:colOff>
      <xdr:row>29</xdr:row>
      <xdr:rowOff>19050</xdr:rowOff>
    </xdr:to>
    <xdr:sp macro="" textlink="">
      <xdr:nvSpPr>
        <xdr:cNvPr id="4" name="Text Box 87"/>
        <xdr:cNvSpPr txBox="1">
          <a:spLocks noChangeArrowheads="1"/>
        </xdr:cNvSpPr>
      </xdr:nvSpPr>
      <xdr:spPr bwMode="auto">
        <a:xfrm>
          <a:off x="4895850" y="537210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30</xdr:row>
      <xdr:rowOff>38100</xdr:rowOff>
    </xdr:from>
    <xdr:to>
      <xdr:col>10</xdr:col>
      <xdr:colOff>390525</xdr:colOff>
      <xdr:row>31</xdr:row>
      <xdr:rowOff>28575</xdr:rowOff>
    </xdr:to>
    <xdr:sp macro="" textlink="">
      <xdr:nvSpPr>
        <xdr:cNvPr id="5" name="Text Box 87"/>
        <xdr:cNvSpPr txBox="1">
          <a:spLocks noChangeArrowheads="1"/>
        </xdr:cNvSpPr>
      </xdr:nvSpPr>
      <xdr:spPr bwMode="auto">
        <a:xfrm>
          <a:off x="5200650" y="946785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66675</xdr:colOff>
      <xdr:row>31</xdr:row>
      <xdr:rowOff>9525</xdr:rowOff>
    </xdr:from>
    <xdr:to>
      <xdr:col>2</xdr:col>
      <xdr:colOff>561975</xdr:colOff>
      <xdr:row>31</xdr:row>
      <xdr:rowOff>9525</xdr:rowOff>
    </xdr:to>
    <xdr:sp macro="" textlink="">
      <xdr:nvSpPr>
        <xdr:cNvPr id="52246" name="Line 46"/>
        <xdr:cNvSpPr>
          <a:spLocks noChangeShapeType="1"/>
        </xdr:cNvSpPr>
      </xdr:nvSpPr>
      <xdr:spPr bwMode="auto">
        <a:xfrm>
          <a:off x="1152525" y="975360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7</xdr:row>
      <xdr:rowOff>0</xdr:rowOff>
    </xdr:from>
    <xdr:to>
      <xdr:col>9</xdr:col>
      <xdr:colOff>0</xdr:colOff>
      <xdr:row>7</xdr:row>
      <xdr:rowOff>47625</xdr:rowOff>
    </xdr:to>
    <xdr:sp macro="" textlink="">
      <xdr:nvSpPr>
        <xdr:cNvPr id="6" name="Text Box 95"/>
        <xdr:cNvSpPr txBox="1">
          <a:spLocks noChangeArrowheads="1"/>
        </xdr:cNvSpPr>
      </xdr:nvSpPr>
      <xdr:spPr bwMode="auto">
        <a:xfrm>
          <a:off x="4324350" y="11687175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52248" name="Line 92"/>
        <xdr:cNvSpPr>
          <a:spLocks noChangeShapeType="1"/>
        </xdr:cNvSpPr>
      </xdr:nvSpPr>
      <xdr:spPr bwMode="auto">
        <a:xfrm>
          <a:off x="4600575" y="1410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52249" name="Line 93"/>
        <xdr:cNvSpPr>
          <a:spLocks noChangeShapeType="1"/>
        </xdr:cNvSpPr>
      </xdr:nvSpPr>
      <xdr:spPr bwMode="auto">
        <a:xfrm>
          <a:off x="4600575" y="1410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7" name="Text Box 94"/>
        <xdr:cNvSpPr txBox="1">
          <a:spLocks noChangeArrowheads="1"/>
        </xdr:cNvSpPr>
      </xdr:nvSpPr>
      <xdr:spPr bwMode="auto">
        <a:xfrm>
          <a:off x="400050" y="11372850"/>
          <a:ext cx="333375" cy="2952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18493" name="Text Box 95"/>
        <xdr:cNvSpPr txBox="1">
          <a:spLocks noChangeArrowheads="1"/>
        </xdr:cNvSpPr>
      </xdr:nvSpPr>
      <xdr:spPr bwMode="auto">
        <a:xfrm>
          <a:off x="4543425" y="141065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18494" name="Text Box 96"/>
        <xdr:cNvSpPr txBox="1">
          <a:spLocks noChangeArrowheads="1"/>
        </xdr:cNvSpPr>
      </xdr:nvSpPr>
      <xdr:spPr bwMode="auto">
        <a:xfrm>
          <a:off x="4543425" y="141065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18495" name="Text Box 97"/>
        <xdr:cNvSpPr txBox="1">
          <a:spLocks noChangeArrowheads="1"/>
        </xdr:cNvSpPr>
      </xdr:nvSpPr>
      <xdr:spPr bwMode="auto">
        <a:xfrm>
          <a:off x="4543425" y="141065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52254" name="Line 100"/>
        <xdr:cNvSpPr>
          <a:spLocks noChangeShapeType="1"/>
        </xdr:cNvSpPr>
      </xdr:nvSpPr>
      <xdr:spPr bwMode="auto">
        <a:xfrm>
          <a:off x="4600575" y="1410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0</xdr:colOff>
      <xdr:row>50</xdr:row>
      <xdr:rowOff>0</xdr:rowOff>
    </xdr:to>
    <xdr:sp macro="" textlink="">
      <xdr:nvSpPr>
        <xdr:cNvPr id="52255" name="Line 101"/>
        <xdr:cNvSpPr>
          <a:spLocks noChangeShapeType="1"/>
        </xdr:cNvSpPr>
      </xdr:nvSpPr>
      <xdr:spPr bwMode="auto">
        <a:xfrm>
          <a:off x="0" y="14106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53</xdr:row>
      <xdr:rowOff>9525</xdr:rowOff>
    </xdr:from>
    <xdr:to>
      <xdr:col>4</xdr:col>
      <xdr:colOff>0</xdr:colOff>
      <xdr:row>53</xdr:row>
      <xdr:rowOff>9525</xdr:rowOff>
    </xdr:to>
    <xdr:sp macro="" textlink="">
      <xdr:nvSpPr>
        <xdr:cNvPr id="52256" name="Line 66"/>
        <xdr:cNvSpPr>
          <a:spLocks noChangeShapeType="1"/>
        </xdr:cNvSpPr>
      </xdr:nvSpPr>
      <xdr:spPr bwMode="auto">
        <a:xfrm>
          <a:off x="1133475" y="150590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56</xdr:row>
      <xdr:rowOff>38100</xdr:rowOff>
    </xdr:from>
    <xdr:to>
      <xdr:col>10</xdr:col>
      <xdr:colOff>390525</xdr:colOff>
      <xdr:row>57</xdr:row>
      <xdr:rowOff>28575</xdr:rowOff>
    </xdr:to>
    <xdr:sp macro="" textlink="">
      <xdr:nvSpPr>
        <xdr:cNvPr id="8" name="Text Box 87"/>
        <xdr:cNvSpPr txBox="1">
          <a:spLocks noChangeArrowheads="1"/>
        </xdr:cNvSpPr>
      </xdr:nvSpPr>
      <xdr:spPr bwMode="auto">
        <a:xfrm>
          <a:off x="4838700" y="255270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9525</xdr:colOff>
      <xdr:row>58</xdr:row>
      <xdr:rowOff>9525</xdr:rowOff>
    </xdr:from>
    <xdr:to>
      <xdr:col>3</xdr:col>
      <xdr:colOff>400050</xdr:colOff>
      <xdr:row>58</xdr:row>
      <xdr:rowOff>9525</xdr:rowOff>
    </xdr:to>
    <xdr:sp macro="" textlink="">
      <xdr:nvSpPr>
        <xdr:cNvPr id="52258" name="Line 68"/>
        <xdr:cNvSpPr>
          <a:spLocks noChangeShapeType="1"/>
        </xdr:cNvSpPr>
      </xdr:nvSpPr>
      <xdr:spPr bwMode="auto">
        <a:xfrm>
          <a:off x="1095375" y="166306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</xdr:colOff>
      <xdr:row>62</xdr:row>
      <xdr:rowOff>0</xdr:rowOff>
    </xdr:from>
    <xdr:to>
      <xdr:col>3</xdr:col>
      <xdr:colOff>400050</xdr:colOff>
      <xdr:row>62</xdr:row>
      <xdr:rowOff>0</xdr:rowOff>
    </xdr:to>
    <xdr:sp macro="" textlink="">
      <xdr:nvSpPr>
        <xdr:cNvPr id="52259" name="Line 69"/>
        <xdr:cNvSpPr>
          <a:spLocks noChangeShapeType="1"/>
        </xdr:cNvSpPr>
      </xdr:nvSpPr>
      <xdr:spPr bwMode="auto">
        <a:xfrm>
          <a:off x="1123950" y="17878425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62</xdr:row>
      <xdr:rowOff>9525</xdr:rowOff>
    </xdr:from>
    <xdr:to>
      <xdr:col>5</xdr:col>
      <xdr:colOff>381000</xdr:colOff>
      <xdr:row>62</xdr:row>
      <xdr:rowOff>9525</xdr:rowOff>
    </xdr:to>
    <xdr:sp macro="" textlink="">
      <xdr:nvSpPr>
        <xdr:cNvPr id="52260" name="Line 71"/>
        <xdr:cNvSpPr>
          <a:spLocks noChangeShapeType="1"/>
        </xdr:cNvSpPr>
      </xdr:nvSpPr>
      <xdr:spPr bwMode="auto">
        <a:xfrm>
          <a:off x="2152650" y="178879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47625</xdr:colOff>
      <xdr:row>62</xdr:row>
      <xdr:rowOff>0</xdr:rowOff>
    </xdr:from>
    <xdr:to>
      <xdr:col>8</xdr:col>
      <xdr:colOff>609600</xdr:colOff>
      <xdr:row>62</xdr:row>
      <xdr:rowOff>0</xdr:rowOff>
    </xdr:to>
    <xdr:sp macro="" textlink="">
      <xdr:nvSpPr>
        <xdr:cNvPr id="52261" name="Line 72"/>
        <xdr:cNvSpPr>
          <a:spLocks noChangeShapeType="1"/>
        </xdr:cNvSpPr>
      </xdr:nvSpPr>
      <xdr:spPr bwMode="auto">
        <a:xfrm>
          <a:off x="3019425" y="17878425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63</xdr:row>
      <xdr:rowOff>28575</xdr:rowOff>
    </xdr:from>
    <xdr:to>
      <xdr:col>10</xdr:col>
      <xdr:colOff>390525</xdr:colOff>
      <xdr:row>64</xdr:row>
      <xdr:rowOff>19050</xdr:rowOff>
    </xdr:to>
    <xdr:sp macro="" textlink="">
      <xdr:nvSpPr>
        <xdr:cNvPr id="9" name="Text Box 87"/>
        <xdr:cNvSpPr txBox="1">
          <a:spLocks noChangeArrowheads="1"/>
        </xdr:cNvSpPr>
      </xdr:nvSpPr>
      <xdr:spPr bwMode="auto">
        <a:xfrm>
          <a:off x="4895850" y="537210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0</xdr:colOff>
      <xdr:row>65</xdr:row>
      <xdr:rowOff>38100</xdr:rowOff>
    </xdr:from>
    <xdr:to>
      <xdr:col>10</xdr:col>
      <xdr:colOff>390525</xdr:colOff>
      <xdr:row>66</xdr:row>
      <xdr:rowOff>28575</xdr:rowOff>
    </xdr:to>
    <xdr:sp macro="" textlink="">
      <xdr:nvSpPr>
        <xdr:cNvPr id="11" name="Text Box 87"/>
        <xdr:cNvSpPr txBox="1">
          <a:spLocks noChangeArrowheads="1"/>
        </xdr:cNvSpPr>
      </xdr:nvSpPr>
      <xdr:spPr bwMode="auto">
        <a:xfrm>
          <a:off x="4838700" y="2552700"/>
          <a:ext cx="3905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66675</xdr:colOff>
      <xdr:row>66</xdr:row>
      <xdr:rowOff>9525</xdr:rowOff>
    </xdr:from>
    <xdr:to>
      <xdr:col>2</xdr:col>
      <xdr:colOff>561975</xdr:colOff>
      <xdr:row>66</xdr:row>
      <xdr:rowOff>9525</xdr:rowOff>
    </xdr:to>
    <xdr:sp macro="" textlink="">
      <xdr:nvSpPr>
        <xdr:cNvPr id="52264" name="Line 75"/>
        <xdr:cNvSpPr>
          <a:spLocks noChangeShapeType="1"/>
        </xdr:cNvSpPr>
      </xdr:nvSpPr>
      <xdr:spPr bwMode="auto">
        <a:xfrm>
          <a:off x="1152525" y="19145250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50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18508" name="Text Box 95"/>
        <xdr:cNvSpPr txBox="1">
          <a:spLocks noChangeArrowheads="1"/>
        </xdr:cNvSpPr>
      </xdr:nvSpPr>
      <xdr:spPr bwMode="auto">
        <a:xfrm>
          <a:off x="4543425" y="14106525"/>
          <a:ext cx="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114300</xdr:colOff>
      <xdr:row>54</xdr:row>
      <xdr:rowOff>295275</xdr:rowOff>
    </xdr:from>
    <xdr:to>
      <xdr:col>3</xdr:col>
      <xdr:colOff>342900</xdr:colOff>
      <xdr:row>54</xdr:row>
      <xdr:rowOff>295275</xdr:rowOff>
    </xdr:to>
    <xdr:sp macro="" textlink="">
      <xdr:nvSpPr>
        <xdr:cNvPr id="52266" name="Line 77"/>
        <xdr:cNvSpPr>
          <a:spLocks noChangeShapeType="1"/>
        </xdr:cNvSpPr>
      </xdr:nvSpPr>
      <xdr:spPr bwMode="auto">
        <a:xfrm>
          <a:off x="1200150" y="156591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123825</xdr:colOff>
      <xdr:row>20</xdr:row>
      <xdr:rowOff>9525</xdr:rowOff>
    </xdr:from>
    <xdr:to>
      <xdr:col>3</xdr:col>
      <xdr:colOff>295275</xdr:colOff>
      <xdr:row>20</xdr:row>
      <xdr:rowOff>9525</xdr:rowOff>
    </xdr:to>
    <xdr:sp macro="" textlink="">
      <xdr:nvSpPr>
        <xdr:cNvPr id="52267" name="Line 78"/>
        <xdr:cNvSpPr>
          <a:spLocks noChangeShapeType="1"/>
        </xdr:cNvSpPr>
      </xdr:nvSpPr>
      <xdr:spPr bwMode="auto">
        <a:xfrm>
          <a:off x="1209675" y="6296025"/>
          <a:ext cx="733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23</xdr:row>
      <xdr:rowOff>85725</xdr:rowOff>
    </xdr:from>
    <xdr:to>
      <xdr:col>1</xdr:col>
      <xdr:colOff>419100</xdr:colOff>
      <xdr:row>24</xdr:row>
      <xdr:rowOff>123825</xdr:rowOff>
    </xdr:to>
    <xdr:sp macro="" textlink="">
      <xdr:nvSpPr>
        <xdr:cNvPr id="45378" name="Line 2"/>
        <xdr:cNvSpPr>
          <a:spLocks noChangeShapeType="1"/>
        </xdr:cNvSpPr>
      </xdr:nvSpPr>
      <xdr:spPr bwMode="auto">
        <a:xfrm>
          <a:off x="847725" y="578167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476250</xdr:colOff>
      <xdr:row>24</xdr:row>
      <xdr:rowOff>171450</xdr:rowOff>
    </xdr:from>
    <xdr:to>
      <xdr:col>2</xdr:col>
      <xdr:colOff>476250</xdr:colOff>
      <xdr:row>25</xdr:row>
      <xdr:rowOff>161925</xdr:rowOff>
    </xdr:to>
    <xdr:sp macro="" textlink="">
      <xdr:nvSpPr>
        <xdr:cNvPr id="45379" name="Line 3"/>
        <xdr:cNvSpPr>
          <a:spLocks noChangeShapeType="1"/>
        </xdr:cNvSpPr>
      </xdr:nvSpPr>
      <xdr:spPr bwMode="auto">
        <a:xfrm flipV="1">
          <a:off x="1333500" y="61150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419100</xdr:colOff>
      <xdr:row>23</xdr:row>
      <xdr:rowOff>133350</xdr:rowOff>
    </xdr:from>
    <xdr:to>
      <xdr:col>4</xdr:col>
      <xdr:colOff>419100</xdr:colOff>
      <xdr:row>24</xdr:row>
      <xdr:rowOff>142875</xdr:rowOff>
    </xdr:to>
    <xdr:sp macro="" textlink="">
      <xdr:nvSpPr>
        <xdr:cNvPr id="45380" name="Line 4"/>
        <xdr:cNvSpPr>
          <a:spLocks noChangeShapeType="1"/>
        </xdr:cNvSpPr>
      </xdr:nvSpPr>
      <xdr:spPr bwMode="auto">
        <a:xfrm>
          <a:off x="2200275" y="58293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0</xdr:colOff>
      <xdr:row>24</xdr:row>
      <xdr:rowOff>171450</xdr:rowOff>
    </xdr:from>
    <xdr:to>
      <xdr:col>4</xdr:col>
      <xdr:colOff>419100</xdr:colOff>
      <xdr:row>24</xdr:row>
      <xdr:rowOff>171450</xdr:rowOff>
    </xdr:to>
    <xdr:sp macro="" textlink="">
      <xdr:nvSpPr>
        <xdr:cNvPr id="45381" name="Line 5"/>
        <xdr:cNvSpPr>
          <a:spLocks noChangeShapeType="1"/>
        </xdr:cNvSpPr>
      </xdr:nvSpPr>
      <xdr:spPr bwMode="auto">
        <a:xfrm>
          <a:off x="857250" y="6115050"/>
          <a:ext cx="1343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9525</xdr:colOff>
      <xdr:row>26</xdr:row>
      <xdr:rowOff>0</xdr:rowOff>
    </xdr:from>
    <xdr:to>
      <xdr:col>2</xdr:col>
      <xdr:colOff>476250</xdr:colOff>
      <xdr:row>26</xdr:row>
      <xdr:rowOff>0</xdr:rowOff>
    </xdr:to>
    <xdr:sp macro="" textlink="">
      <xdr:nvSpPr>
        <xdr:cNvPr id="45382" name="Line 6"/>
        <xdr:cNvSpPr>
          <a:spLocks noChangeShapeType="1"/>
        </xdr:cNvSpPr>
      </xdr:nvSpPr>
      <xdr:spPr bwMode="auto">
        <a:xfrm>
          <a:off x="866775" y="6438900"/>
          <a:ext cx="466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</xdr:col>
      <xdr:colOff>9525</xdr:colOff>
      <xdr:row>24</xdr:row>
      <xdr:rowOff>47625</xdr:rowOff>
    </xdr:from>
    <xdr:to>
      <xdr:col>4</xdr:col>
      <xdr:colOff>361950</xdr:colOff>
      <xdr:row>24</xdr:row>
      <xdr:rowOff>47625</xdr:rowOff>
    </xdr:to>
    <xdr:sp macro="" textlink="">
      <xdr:nvSpPr>
        <xdr:cNvPr id="45383" name="Line 7"/>
        <xdr:cNvSpPr>
          <a:spLocks noChangeShapeType="1"/>
        </xdr:cNvSpPr>
      </xdr:nvSpPr>
      <xdr:spPr bwMode="auto">
        <a:xfrm>
          <a:off x="1362075" y="5991225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19050</xdr:colOff>
      <xdr:row>24</xdr:row>
      <xdr:rowOff>142875</xdr:rowOff>
    </xdr:from>
    <xdr:to>
      <xdr:col>9</xdr:col>
      <xdr:colOff>0</xdr:colOff>
      <xdr:row>24</xdr:row>
      <xdr:rowOff>142875</xdr:rowOff>
    </xdr:to>
    <xdr:sp macro="" textlink="">
      <xdr:nvSpPr>
        <xdr:cNvPr id="45384" name="Line 8"/>
        <xdr:cNvSpPr>
          <a:spLocks noChangeShapeType="1"/>
        </xdr:cNvSpPr>
      </xdr:nvSpPr>
      <xdr:spPr bwMode="auto">
        <a:xfrm>
          <a:off x="2657475" y="608647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24</xdr:row>
      <xdr:rowOff>219075</xdr:rowOff>
    </xdr:from>
    <xdr:to>
      <xdr:col>6</xdr:col>
      <xdr:colOff>0</xdr:colOff>
      <xdr:row>25</xdr:row>
      <xdr:rowOff>190500</xdr:rowOff>
    </xdr:to>
    <xdr:sp macro="" textlink="">
      <xdr:nvSpPr>
        <xdr:cNvPr id="45385" name="Line 9"/>
        <xdr:cNvSpPr>
          <a:spLocks noChangeShapeType="1"/>
        </xdr:cNvSpPr>
      </xdr:nvSpPr>
      <xdr:spPr bwMode="auto">
        <a:xfrm flipV="1">
          <a:off x="2638425" y="6162675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0</xdr:colOff>
      <xdr:row>24</xdr:row>
      <xdr:rowOff>180975</xdr:rowOff>
    </xdr:from>
    <xdr:to>
      <xdr:col>9</xdr:col>
      <xdr:colOff>0</xdr:colOff>
      <xdr:row>25</xdr:row>
      <xdr:rowOff>180975</xdr:rowOff>
    </xdr:to>
    <xdr:sp macro="" textlink="">
      <xdr:nvSpPr>
        <xdr:cNvPr id="45386" name="Line 10"/>
        <xdr:cNvSpPr>
          <a:spLocks noChangeShapeType="1"/>
        </xdr:cNvSpPr>
      </xdr:nvSpPr>
      <xdr:spPr bwMode="auto">
        <a:xfrm flipV="1">
          <a:off x="3924300" y="612457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209550</xdr:colOff>
      <xdr:row>23</xdr:row>
      <xdr:rowOff>85725</xdr:rowOff>
    </xdr:from>
    <xdr:to>
      <xdr:col>7</xdr:col>
      <xdr:colOff>219075</xdr:colOff>
      <xdr:row>24</xdr:row>
      <xdr:rowOff>114300</xdr:rowOff>
    </xdr:to>
    <xdr:sp macro="" textlink="">
      <xdr:nvSpPr>
        <xdr:cNvPr id="45387" name="Line 11"/>
        <xdr:cNvSpPr>
          <a:spLocks noChangeShapeType="1"/>
        </xdr:cNvSpPr>
      </xdr:nvSpPr>
      <xdr:spPr bwMode="auto">
        <a:xfrm>
          <a:off x="3276600" y="5781675"/>
          <a:ext cx="952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</xdr:row>
      <xdr:rowOff>104775</xdr:rowOff>
    </xdr:from>
    <xdr:to>
      <xdr:col>1</xdr:col>
      <xdr:colOff>495300</xdr:colOff>
      <xdr:row>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419100"/>
          <a:ext cx="247650" cy="52387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Ｗ</a:t>
          </a:r>
        </a:p>
      </xdr:txBody>
    </xdr:sp>
    <xdr:clientData/>
  </xdr:twoCellAnchor>
  <xdr:twoCellAnchor>
    <xdr:from>
      <xdr:col>1</xdr:col>
      <xdr:colOff>85725</xdr:colOff>
      <xdr:row>3</xdr:row>
      <xdr:rowOff>0</xdr:rowOff>
    </xdr:from>
    <xdr:to>
      <xdr:col>1</xdr:col>
      <xdr:colOff>428625</xdr:colOff>
      <xdr:row>3</xdr:row>
      <xdr:rowOff>0</xdr:rowOff>
    </xdr:to>
    <xdr:sp macro="" textlink="">
      <xdr:nvSpPr>
        <xdr:cNvPr id="41220" name="Line 2"/>
        <xdr:cNvSpPr>
          <a:spLocks noChangeShapeType="1"/>
        </xdr:cNvSpPr>
      </xdr:nvSpPr>
      <xdr:spPr bwMode="auto">
        <a:xfrm>
          <a:off x="771525" y="1019175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190500</xdr:colOff>
      <xdr:row>3</xdr:row>
      <xdr:rowOff>28575</xdr:rowOff>
    </xdr:from>
    <xdr:to>
      <xdr:col>2</xdr:col>
      <xdr:colOff>0</xdr:colOff>
      <xdr:row>3</xdr:row>
      <xdr:rowOff>276225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19125" y="657225"/>
          <a:ext cx="238125" cy="2476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3</xdr:col>
      <xdr:colOff>190500</xdr:colOff>
      <xdr:row>2</xdr:row>
      <xdr:rowOff>66675</xdr:rowOff>
    </xdr:from>
    <xdr:to>
      <xdr:col>4</xdr:col>
      <xdr:colOff>238125</xdr:colOff>
      <xdr:row>2</xdr:row>
      <xdr:rowOff>295275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476375" y="381000"/>
          <a:ext cx="47625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4</xdr:row>
      <xdr:rowOff>95250</xdr:rowOff>
    </xdr:from>
    <xdr:to>
      <xdr:col>4</xdr:col>
      <xdr:colOff>19050</xdr:colOff>
      <xdr:row>5</xdr:row>
      <xdr:rowOff>9525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314450" y="1038225"/>
          <a:ext cx="41910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MPa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opLeftCell="A13" zoomScaleNormal="100" workbookViewId="0">
      <selection activeCell="C16" sqref="C16"/>
    </sheetView>
  </sheetViews>
  <sheetFormatPr defaultRowHeight="13.5"/>
  <cols>
    <col min="1" max="1" width="15.875" customWidth="1"/>
    <col min="5" max="5" width="4.375" customWidth="1"/>
  </cols>
  <sheetData>
    <row r="1" spans="1:6" ht="24.95" customHeight="1">
      <c r="A1" s="5" t="s">
        <v>237</v>
      </c>
    </row>
    <row r="2" spans="1:6" ht="24.95" customHeight="1">
      <c r="A2" s="4" t="s">
        <v>238</v>
      </c>
      <c r="C2" s="64">
        <v>1.5</v>
      </c>
      <c r="D2" t="s">
        <v>27</v>
      </c>
    </row>
    <row r="3" spans="1:6" ht="24.95" customHeight="1">
      <c r="A3" s="4" t="s">
        <v>239</v>
      </c>
      <c r="C3" s="64">
        <v>1730</v>
      </c>
      <c r="D3" t="s">
        <v>241</v>
      </c>
    </row>
    <row r="4" spans="1:6" ht="24.95" customHeight="1">
      <c r="A4" s="4" t="s">
        <v>240</v>
      </c>
      <c r="C4" s="65">
        <v>120</v>
      </c>
      <c r="D4" t="s">
        <v>241</v>
      </c>
    </row>
    <row r="5" spans="1:6" ht="24.95" customHeight="1">
      <c r="A5" s="4"/>
    </row>
    <row r="6" spans="1:6" ht="24.95" customHeight="1">
      <c r="A6" s="2" t="s">
        <v>254</v>
      </c>
    </row>
    <row r="7" spans="1:6" ht="24.95" customHeight="1">
      <c r="A7" s="111" t="s">
        <v>112</v>
      </c>
      <c r="B7" s="110" t="s">
        <v>242</v>
      </c>
      <c r="C7" s="112" t="s">
        <v>239</v>
      </c>
      <c r="D7" s="112"/>
      <c r="E7" s="107" t="s">
        <v>1</v>
      </c>
      <c r="F7" s="108">
        <f>ROUNDUP(C3/C4,1)</f>
        <v>14.5</v>
      </c>
    </row>
    <row r="8" spans="1:6" ht="24.95" customHeight="1">
      <c r="A8" s="111"/>
      <c r="B8" s="110"/>
      <c r="C8" s="111" t="s">
        <v>240</v>
      </c>
      <c r="D8" s="111"/>
      <c r="E8" s="107"/>
      <c r="F8" s="109"/>
    </row>
    <row r="9" spans="1:6" ht="24.95" customHeight="1">
      <c r="A9" s="13"/>
      <c r="B9" s="1" t="s">
        <v>1</v>
      </c>
      <c r="C9" s="9" t="s">
        <v>243</v>
      </c>
      <c r="E9" s="9" t="s">
        <v>244</v>
      </c>
      <c r="F9" t="s">
        <v>246</v>
      </c>
    </row>
    <row r="10" spans="1:6" ht="24.95" customHeight="1">
      <c r="A10" s="13"/>
      <c r="E10" s="9" t="s">
        <v>245</v>
      </c>
      <c r="F10" t="s">
        <v>247</v>
      </c>
    </row>
    <row r="11" spans="1:6" ht="24.95" customHeight="1">
      <c r="A11" s="13" t="s">
        <v>255</v>
      </c>
      <c r="C11" s="59" t="s">
        <v>248</v>
      </c>
    </row>
    <row r="12" spans="1:6" ht="24.95" customHeight="1">
      <c r="A12" s="13"/>
      <c r="C12" s="4" t="s">
        <v>249</v>
      </c>
    </row>
    <row r="13" spans="1:6" ht="24.95" customHeight="1">
      <c r="B13" s="8" t="s">
        <v>251</v>
      </c>
      <c r="C13" s="64">
        <v>3</v>
      </c>
    </row>
    <row r="14" spans="1:6" ht="24.95" customHeight="1">
      <c r="A14" s="13" t="s">
        <v>256</v>
      </c>
      <c r="C14" s="4" t="s">
        <v>250</v>
      </c>
    </row>
    <row r="15" spans="1:6" ht="24.95" customHeight="1">
      <c r="B15" s="8" t="s">
        <v>252</v>
      </c>
      <c r="C15" s="9" t="s">
        <v>253</v>
      </c>
    </row>
    <row r="16" spans="1:6" ht="24.95" customHeight="1">
      <c r="B16" s="8" t="s">
        <v>9</v>
      </c>
      <c r="C16" s="71">
        <f>F7/C13</f>
        <v>4.833333333333333</v>
      </c>
    </row>
    <row r="17" spans="1:1" ht="24.95" customHeight="1"/>
    <row r="18" spans="1:1" ht="24.95" customHeight="1">
      <c r="A18" s="2" t="s">
        <v>257</v>
      </c>
    </row>
    <row r="19" spans="1:1" ht="24.95" customHeight="1"/>
    <row r="20" spans="1:1" ht="24.95" customHeight="1"/>
    <row r="21" spans="1:1" ht="24.95" customHeight="1"/>
    <row r="22" spans="1:1" ht="24.95" customHeight="1"/>
    <row r="23" spans="1:1" ht="24.95" customHeight="1"/>
    <row r="24" spans="1:1" ht="24.95" customHeight="1"/>
    <row r="25" spans="1:1" ht="24.95" customHeight="1"/>
    <row r="26" spans="1:1" ht="24.95" customHeight="1"/>
    <row r="27" spans="1:1" ht="24.95" customHeight="1"/>
    <row r="28" spans="1:1" ht="24.95" customHeight="1"/>
  </sheetData>
  <mergeCells count="6">
    <mergeCell ref="E7:E8"/>
    <mergeCell ref="F7:F8"/>
    <mergeCell ref="B7:B8"/>
    <mergeCell ref="A7:A8"/>
    <mergeCell ref="C7:D7"/>
    <mergeCell ref="C8:D8"/>
  </mergeCells>
  <phoneticPr fontId="2"/>
  <pageMargins left="0.9055118110236221" right="0.31496062992125984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7"/>
  <sheetViews>
    <sheetView tabSelected="1" topLeftCell="A49" zoomScale="90" zoomScaleNormal="90" workbookViewId="0">
      <selection activeCell="D52" sqref="D52"/>
    </sheetView>
  </sheetViews>
  <sheetFormatPr defaultRowHeight="13.5"/>
  <cols>
    <col min="1" max="1" width="5.625" customWidth="1"/>
    <col min="2" max="2" width="6.375" customWidth="1"/>
    <col min="3" max="4" width="5.625" customWidth="1"/>
    <col min="5" max="5" width="4.75" customWidth="1"/>
    <col min="6" max="6" width="5.625" customWidth="1"/>
    <col min="7" max="7" width="7.125" customWidth="1"/>
    <col min="8" max="8" width="6.375" customWidth="1"/>
    <col min="9" max="10" width="5.625" customWidth="1"/>
    <col min="11" max="11" width="6.5" customWidth="1"/>
    <col min="12" max="12" width="6.75" customWidth="1"/>
    <col min="13" max="33" width="5.625" customWidth="1"/>
  </cols>
  <sheetData>
    <row r="1" spans="1:15" ht="24.95" customHeight="1">
      <c r="A1" s="5" t="s">
        <v>262</v>
      </c>
    </row>
    <row r="2" spans="1:15" ht="24.95" customHeight="1"/>
    <row r="3" spans="1:15" ht="24.95" customHeight="1"/>
    <row r="4" spans="1:15" ht="24.95" customHeight="1"/>
    <row r="5" spans="1:15" ht="24.95" customHeight="1"/>
    <row r="6" spans="1:15" ht="24.95" customHeight="1"/>
    <row r="7" spans="1:15" ht="24.95" customHeight="1"/>
    <row r="8" spans="1:15" ht="24.95" customHeight="1"/>
    <row r="9" spans="1:15" ht="24.95" customHeight="1"/>
    <row r="10" spans="1:15" ht="24.95" customHeight="1"/>
    <row r="11" spans="1:15" ht="24.95" customHeight="1"/>
    <row r="12" spans="1:15" ht="20.100000000000001" customHeight="1">
      <c r="A12" s="38" t="s">
        <v>108</v>
      </c>
    </row>
    <row r="13" spans="1:15" ht="20.100000000000001" customHeight="1">
      <c r="A13" s="107" t="s">
        <v>117</v>
      </c>
      <c r="B13" s="107"/>
      <c r="C13" s="123">
        <v>1.5</v>
      </c>
      <c r="D13" s="124"/>
      <c r="E13" t="s">
        <v>109</v>
      </c>
      <c r="F13" s="107" t="s">
        <v>112</v>
      </c>
      <c r="G13" s="107"/>
      <c r="H13" s="136">
        <v>3</v>
      </c>
      <c r="I13" s="137"/>
      <c r="K13" s="107" t="s">
        <v>114</v>
      </c>
      <c r="L13" s="107"/>
      <c r="M13" s="123">
        <v>10</v>
      </c>
      <c r="N13" s="124"/>
      <c r="O13" t="s">
        <v>115</v>
      </c>
    </row>
    <row r="14" spans="1:15" ht="20.100000000000001" customHeight="1">
      <c r="A14" s="107" t="s">
        <v>110</v>
      </c>
      <c r="B14" s="107"/>
      <c r="C14" s="123">
        <v>1730</v>
      </c>
      <c r="D14" s="124"/>
      <c r="E14" t="s">
        <v>111</v>
      </c>
      <c r="F14" s="107" t="s">
        <v>113</v>
      </c>
      <c r="G14" s="107"/>
      <c r="H14" s="123">
        <f>ROUND(C14/H13,-1)</f>
        <v>580</v>
      </c>
      <c r="I14" s="124"/>
      <c r="J14" t="s">
        <v>111</v>
      </c>
    </row>
    <row r="15" spans="1:15" ht="20.100000000000001" customHeight="1">
      <c r="A15" s="11"/>
      <c r="B15" s="11"/>
      <c r="C15" s="40"/>
      <c r="D15" s="40"/>
      <c r="E15" s="41"/>
      <c r="F15" s="19"/>
      <c r="G15" s="19"/>
      <c r="H15" s="40"/>
      <c r="I15" s="40"/>
      <c r="J15" s="41"/>
      <c r="K15" s="19"/>
      <c r="L15" s="19"/>
      <c r="M15" s="40"/>
      <c r="N15" s="40"/>
    </row>
    <row r="16" spans="1:15" ht="20.100000000000001" customHeight="1">
      <c r="A16" s="38" t="s">
        <v>116</v>
      </c>
    </row>
    <row r="17" spans="1:14" ht="20.100000000000001" customHeight="1">
      <c r="B17" s="138" t="s">
        <v>118</v>
      </c>
      <c r="C17" s="138" t="s">
        <v>119</v>
      </c>
      <c r="D17" s="138"/>
      <c r="E17" s="138" t="s">
        <v>120</v>
      </c>
      <c r="F17" s="139">
        <f>IF(OR(C13="",M17=""),"",M17*C13)</f>
        <v>1.7999999999999998</v>
      </c>
      <c r="G17" s="140"/>
      <c r="H17" s="138" t="s">
        <v>121</v>
      </c>
      <c r="J17" s="4" t="s">
        <v>122</v>
      </c>
      <c r="L17" s="4" t="s">
        <v>123</v>
      </c>
      <c r="M17" s="143">
        <v>1.2</v>
      </c>
      <c r="N17" s="143"/>
    </row>
    <row r="18" spans="1:14" ht="20.100000000000001" customHeight="1">
      <c r="B18" s="138"/>
      <c r="C18" s="138"/>
      <c r="D18" s="138"/>
      <c r="E18" s="138"/>
      <c r="F18" s="141"/>
      <c r="G18" s="142"/>
      <c r="H18" s="138"/>
    </row>
    <row r="19" spans="1:14" ht="20.100000000000001" customHeight="1"/>
    <row r="20" spans="1:14" ht="20.100000000000001" customHeight="1">
      <c r="A20" s="38" t="s">
        <v>124</v>
      </c>
    </row>
    <row r="21" spans="1:14" ht="20.100000000000001" customHeight="1">
      <c r="A21" s="4" t="s">
        <v>125</v>
      </c>
      <c r="L21" s="68">
        <v>3</v>
      </c>
    </row>
    <row r="22" spans="1:14" ht="20.100000000000001" customHeight="1">
      <c r="A22" t="s">
        <v>132</v>
      </c>
    </row>
    <row r="23" spans="1:14" ht="20.100000000000001" customHeight="1"/>
    <row r="24" spans="1:14" ht="20.100000000000001" customHeight="1">
      <c r="A24" s="38" t="s">
        <v>133</v>
      </c>
      <c r="F24" t="s">
        <v>169</v>
      </c>
    </row>
    <row r="25" spans="1:14" ht="20.100000000000001" customHeight="1">
      <c r="A25" s="4" t="s">
        <v>134</v>
      </c>
    </row>
    <row r="26" spans="1:14" ht="20.100000000000001" customHeight="1">
      <c r="A26" s="130" t="s">
        <v>135</v>
      </c>
      <c r="B26" s="130"/>
      <c r="C26" s="130"/>
      <c r="D26" s="130"/>
      <c r="E26" s="113" t="s">
        <v>137</v>
      </c>
      <c r="F26" s="113"/>
      <c r="G26" s="113" t="s">
        <v>138</v>
      </c>
      <c r="H26" s="113"/>
      <c r="I26" s="113" t="s">
        <v>139</v>
      </c>
      <c r="J26" s="113"/>
      <c r="K26" s="113" t="s">
        <v>140</v>
      </c>
      <c r="L26" s="113"/>
      <c r="M26" s="113"/>
      <c r="N26" s="113"/>
    </row>
    <row r="27" spans="1:14" ht="20.100000000000001" customHeight="1">
      <c r="A27" s="130" t="s">
        <v>136</v>
      </c>
      <c r="B27" s="130"/>
      <c r="C27" s="130"/>
      <c r="D27" s="130"/>
      <c r="E27" s="113">
        <v>67</v>
      </c>
      <c r="F27" s="113"/>
      <c r="G27" s="113">
        <v>180</v>
      </c>
      <c r="H27" s="113"/>
      <c r="I27" s="113">
        <v>315</v>
      </c>
      <c r="J27" s="113"/>
      <c r="K27" s="113" t="s">
        <v>141</v>
      </c>
      <c r="L27" s="113"/>
      <c r="M27" s="113"/>
      <c r="N27" s="113"/>
    </row>
    <row r="28" spans="1:14" ht="20.100000000000001" customHeight="1">
      <c r="A28" s="107" t="s">
        <v>130</v>
      </c>
      <c r="B28" s="107"/>
      <c r="C28" s="123">
        <v>80</v>
      </c>
      <c r="D28" s="124"/>
      <c r="E28" t="s">
        <v>127</v>
      </c>
      <c r="F28" s="107" t="s">
        <v>131</v>
      </c>
      <c r="G28" s="107"/>
      <c r="H28" s="154">
        <v>236</v>
      </c>
      <c r="I28" s="155"/>
      <c r="J28" t="s">
        <v>127</v>
      </c>
      <c r="K28" s="160" t="s">
        <v>170</v>
      </c>
      <c r="L28" s="161"/>
      <c r="M28" s="158">
        <v>0.6</v>
      </c>
      <c r="N28" s="159"/>
    </row>
    <row r="29" spans="1:14" ht="20.100000000000001" customHeight="1">
      <c r="A29" s="107" t="s">
        <v>126</v>
      </c>
      <c r="B29" s="107"/>
      <c r="C29" s="146">
        <f>C28-M28*2</f>
        <v>78.8</v>
      </c>
      <c r="D29" s="147"/>
      <c r="E29" t="s">
        <v>127</v>
      </c>
      <c r="F29" s="107" t="s">
        <v>128</v>
      </c>
      <c r="G29" s="107"/>
      <c r="H29" s="156">
        <f>H28-M28*2</f>
        <v>234.8</v>
      </c>
      <c r="I29" s="157"/>
      <c r="J29" t="s">
        <v>127</v>
      </c>
      <c r="K29" s="151" t="s">
        <v>163</v>
      </c>
      <c r="L29" s="152"/>
      <c r="M29" s="152"/>
      <c r="N29" s="153"/>
    </row>
    <row r="30" spans="1:14" ht="20.100000000000001" customHeight="1">
      <c r="A30" s="107" t="s">
        <v>47</v>
      </c>
      <c r="B30" s="107"/>
      <c r="C30" s="144">
        <f>ROUND(H28/C28,2)</f>
        <v>2.95</v>
      </c>
      <c r="D30" s="145"/>
      <c r="F30" s="107" t="s">
        <v>113</v>
      </c>
      <c r="G30" s="107"/>
      <c r="H30" s="121">
        <f>ROUNDUP(C14*C29/H29,0)</f>
        <v>581</v>
      </c>
      <c r="I30" s="122"/>
      <c r="J30" t="s">
        <v>111</v>
      </c>
      <c r="K30" s="148">
        <f>C28*H13</f>
        <v>240</v>
      </c>
      <c r="L30" s="149"/>
      <c r="M30" s="149"/>
      <c r="N30" s="150"/>
    </row>
    <row r="31" spans="1:14" ht="20.100000000000001" customHeight="1">
      <c r="A31" t="s">
        <v>171</v>
      </c>
    </row>
    <row r="32" spans="1:14" ht="20.100000000000001" customHeight="1">
      <c r="A32" s="2" t="s">
        <v>167</v>
      </c>
      <c r="C32" s="44" t="s">
        <v>168</v>
      </c>
      <c r="I32" s="47"/>
      <c r="J32" s="13" t="s">
        <v>172</v>
      </c>
    </row>
    <row r="33" spans="1:14" ht="24.95" customHeight="1">
      <c r="C33" s="46" t="s">
        <v>9</v>
      </c>
      <c r="D33" s="162">
        <f>180-2*180*ASIN((H29-C29)/(2*K34))/PI()</f>
        <v>149.85987571022233</v>
      </c>
      <c r="E33" s="163"/>
      <c r="F33" s="7" t="s">
        <v>231</v>
      </c>
      <c r="J33" s="134" t="s">
        <v>174</v>
      </c>
      <c r="K33" s="134"/>
      <c r="L33" s="134"/>
      <c r="M33" s="48">
        <f>C28+H28/2</f>
        <v>198</v>
      </c>
      <c r="N33" t="s">
        <v>127</v>
      </c>
    </row>
    <row r="34" spans="1:14" ht="24.95" customHeight="1">
      <c r="J34" s="2" t="s">
        <v>173</v>
      </c>
      <c r="K34" s="123">
        <v>300</v>
      </c>
      <c r="L34" s="124"/>
      <c r="M34" t="s">
        <v>127</v>
      </c>
    </row>
    <row r="35" spans="1:14" ht="30" customHeight="1">
      <c r="A35" s="38" t="s">
        <v>142</v>
      </c>
    </row>
    <row r="36" spans="1:14" ht="20.100000000000001" customHeight="1">
      <c r="A36" t="s">
        <v>143</v>
      </c>
      <c r="B36" s="39"/>
      <c r="J36" s="107" t="s">
        <v>145</v>
      </c>
      <c r="K36" s="107"/>
      <c r="L36" s="164"/>
      <c r="M36" s="69">
        <f>2*K34+1.57*(C29+H29)+(H29-C29)^2/(4*K34)</f>
        <v>1112.6320000000001</v>
      </c>
      <c r="N36" t="s">
        <v>127</v>
      </c>
    </row>
    <row r="37" spans="1:14" ht="20.100000000000001" customHeight="1">
      <c r="A37" t="s">
        <v>144</v>
      </c>
    </row>
    <row r="38" spans="1:14" ht="20.100000000000001" customHeight="1">
      <c r="J38" s="107" t="s">
        <v>129</v>
      </c>
      <c r="K38" s="107"/>
      <c r="L38" s="164"/>
      <c r="M38" s="67">
        <v>1143</v>
      </c>
      <c r="N38" t="s">
        <v>127</v>
      </c>
    </row>
    <row r="39" spans="1:14" ht="20.100000000000001" customHeight="1">
      <c r="A39" s="38" t="s">
        <v>146</v>
      </c>
      <c r="K39" s="138" t="s">
        <v>232</v>
      </c>
      <c r="L39" s="138"/>
      <c r="M39" s="138"/>
    </row>
    <row r="40" spans="1:14" ht="20.100000000000001" customHeight="1">
      <c r="A40" s="125" t="s">
        <v>147</v>
      </c>
      <c r="B40" s="125"/>
      <c r="C40" s="138" t="s">
        <v>148</v>
      </c>
      <c r="D40" s="138"/>
      <c r="E40" s="138"/>
      <c r="F40" s="138"/>
      <c r="G40" s="138"/>
    </row>
    <row r="41" spans="1:14" ht="20.100000000000001" customHeight="1">
      <c r="A41" s="125"/>
      <c r="B41" s="125"/>
      <c r="C41" s="138">
        <v>4</v>
      </c>
      <c r="D41" s="138"/>
      <c r="E41" s="138"/>
      <c r="F41" s="138"/>
      <c r="G41" s="138"/>
      <c r="I41" s="138" t="s">
        <v>149</v>
      </c>
      <c r="J41" s="138"/>
      <c r="K41" s="138"/>
      <c r="L41" s="138"/>
      <c r="M41" s="42">
        <f>IF(M38="","",M38-1.57*(H29+C29))</f>
        <v>650.64799999999991</v>
      </c>
    </row>
    <row r="42" spans="1:14" ht="20.100000000000001" customHeight="1">
      <c r="A42" s="125" t="s">
        <v>147</v>
      </c>
      <c r="B42" s="125"/>
      <c r="C42" s="126">
        <f>IF(M41="","",(M41+(M41^2-2*(H29-C29)^2)^0.5)/4)</f>
        <v>315.68790056588455</v>
      </c>
      <c r="D42" s="127"/>
      <c r="E42" s="138" t="s">
        <v>8</v>
      </c>
    </row>
    <row r="43" spans="1:14" ht="20.100000000000001" customHeight="1">
      <c r="A43" s="125"/>
      <c r="B43" s="125"/>
      <c r="C43" s="128"/>
      <c r="D43" s="129"/>
      <c r="E43" s="138"/>
    </row>
    <row r="44" spans="1:14" ht="20.100000000000001" customHeight="1"/>
    <row r="45" spans="1:14" ht="20.100000000000001" customHeight="1">
      <c r="A45" s="38" t="s">
        <v>150</v>
      </c>
    </row>
    <row r="46" spans="1:14" ht="20.100000000000001" customHeight="1">
      <c r="A46" s="125" t="s">
        <v>151</v>
      </c>
      <c r="B46" s="125"/>
      <c r="C46" s="138" t="s">
        <v>152</v>
      </c>
      <c r="D46" s="138"/>
      <c r="E46" s="138"/>
      <c r="F46" s="138" t="s">
        <v>120</v>
      </c>
      <c r="G46" s="131">
        <f>1000*F17/((PI()*C29*C14)/60000)</f>
        <v>252.17472864535512</v>
      </c>
      <c r="I46" s="133" t="s">
        <v>162</v>
      </c>
      <c r="J46" s="134"/>
      <c r="K46" s="134"/>
      <c r="L46" s="134"/>
      <c r="M46" s="134"/>
    </row>
    <row r="47" spans="1:14" ht="20.100000000000001" customHeight="1">
      <c r="A47" s="125"/>
      <c r="B47" s="125"/>
      <c r="C47" s="138" t="s">
        <v>153</v>
      </c>
      <c r="D47" s="138"/>
      <c r="E47" s="138"/>
      <c r="F47" s="138"/>
      <c r="G47" s="132"/>
      <c r="I47" s="134"/>
      <c r="J47" s="134"/>
      <c r="K47" s="134"/>
      <c r="L47" s="134"/>
      <c r="M47" s="134"/>
    </row>
    <row r="48" spans="1:14" ht="20.100000000000001" customHeight="1"/>
    <row r="49" spans="1:16" ht="20.100000000000001" customHeight="1">
      <c r="A49" s="125" t="s">
        <v>154</v>
      </c>
      <c r="B49" s="125"/>
      <c r="C49" s="125"/>
      <c r="D49" s="125"/>
      <c r="E49" s="125"/>
      <c r="F49" s="135">
        <f>M49/I49</f>
        <v>328.57142857142856</v>
      </c>
      <c r="G49" s="135"/>
      <c r="H49" t="s">
        <v>160</v>
      </c>
      <c r="I49" s="66">
        <v>7</v>
      </c>
      <c r="J49" s="175" t="s">
        <v>161</v>
      </c>
      <c r="K49" s="175"/>
      <c r="L49" s="175"/>
      <c r="M49" s="176">
        <v>2300</v>
      </c>
      <c r="N49" s="176"/>
    </row>
    <row r="50" spans="1:16" ht="20.100000000000001" customHeight="1">
      <c r="A50" s="130" t="s">
        <v>135</v>
      </c>
      <c r="B50" s="130"/>
      <c r="C50" s="130"/>
      <c r="D50" s="130"/>
      <c r="E50" s="113" t="s">
        <v>137</v>
      </c>
      <c r="F50" s="113"/>
      <c r="G50" s="113" t="s">
        <v>138</v>
      </c>
      <c r="H50" s="113"/>
      <c r="I50" s="113" t="s">
        <v>139</v>
      </c>
      <c r="J50" s="113"/>
      <c r="K50" s="113" t="s">
        <v>140</v>
      </c>
      <c r="L50" s="113"/>
      <c r="M50" s="113"/>
      <c r="N50" s="113"/>
    </row>
    <row r="51" spans="1:16" ht="20.100000000000001" customHeight="1">
      <c r="A51" s="130" t="s">
        <v>158</v>
      </c>
      <c r="B51" s="130"/>
      <c r="C51" s="130"/>
      <c r="D51" s="130"/>
      <c r="E51" s="113" t="s">
        <v>155</v>
      </c>
      <c r="F51" s="113"/>
      <c r="G51" s="113" t="s">
        <v>156</v>
      </c>
      <c r="H51" s="113"/>
      <c r="I51" s="113" t="s">
        <v>157</v>
      </c>
      <c r="J51" s="113"/>
      <c r="K51" s="113" t="s">
        <v>159</v>
      </c>
      <c r="L51" s="113"/>
      <c r="M51" s="113"/>
      <c r="N51" s="113"/>
    </row>
    <row r="52" spans="1:16" ht="20.100000000000001" customHeight="1">
      <c r="A52" s="4" t="s">
        <v>164</v>
      </c>
      <c r="C52" s="9" t="s">
        <v>165</v>
      </c>
      <c r="D52" s="70">
        <f>ROUNDUP(G46/F49,0)</f>
        <v>1</v>
      </c>
      <c r="E52" s="2" t="s">
        <v>166</v>
      </c>
    </row>
    <row r="53" spans="1:16" ht="20.100000000000001" customHeight="1"/>
    <row r="54" spans="1:16" ht="20.100000000000001" customHeight="1">
      <c r="A54" s="38" t="s">
        <v>221</v>
      </c>
      <c r="D54" t="s">
        <v>228</v>
      </c>
    </row>
    <row r="55" spans="1:16" ht="20.100000000000001" customHeight="1">
      <c r="A55" s="114" t="s">
        <v>223</v>
      </c>
      <c r="B55" s="114"/>
      <c r="C55" s="114" t="s">
        <v>349</v>
      </c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</row>
    <row r="56" spans="1:16" ht="20.100000000000001" customHeight="1">
      <c r="A56" s="115" t="s">
        <v>224</v>
      </c>
      <c r="B56" s="116"/>
      <c r="C56" s="114" t="s">
        <v>350</v>
      </c>
      <c r="D56" s="114"/>
      <c r="E56" s="114"/>
      <c r="F56" s="114" t="s">
        <v>351</v>
      </c>
      <c r="G56" s="114"/>
      <c r="H56" s="114"/>
      <c r="I56" s="114" t="s">
        <v>210</v>
      </c>
      <c r="J56" s="114"/>
      <c r="K56" s="165">
        <f>C42</f>
        <v>315.68790056588455</v>
      </c>
      <c r="L56" s="114"/>
      <c r="M56" s="114"/>
      <c r="N56" s="114"/>
      <c r="O56" s="114"/>
      <c r="P56" s="114"/>
    </row>
    <row r="57" spans="1:16" ht="20.100000000000001" customHeight="1">
      <c r="A57" s="114" t="s">
        <v>226</v>
      </c>
      <c r="B57" s="114"/>
      <c r="C57" s="120">
        <f>K58/N58</f>
        <v>2.9796954314720816</v>
      </c>
      <c r="D57" s="120"/>
      <c r="E57" s="120"/>
      <c r="F57" s="120"/>
      <c r="G57" s="120"/>
      <c r="H57" s="120"/>
      <c r="I57" s="114" t="s">
        <v>211</v>
      </c>
      <c r="J57" s="114"/>
      <c r="K57" s="114"/>
      <c r="L57" s="114"/>
      <c r="M57" s="114"/>
      <c r="N57" s="114"/>
      <c r="O57" s="114"/>
      <c r="P57" s="114"/>
    </row>
    <row r="58" spans="1:16" ht="20.100000000000001" customHeight="1">
      <c r="A58" s="114" t="s">
        <v>207</v>
      </c>
      <c r="B58" s="114"/>
      <c r="C58" s="114" t="s">
        <v>218</v>
      </c>
      <c r="D58" s="114"/>
      <c r="E58" s="114"/>
      <c r="F58" s="114"/>
      <c r="G58" s="114"/>
      <c r="H58" s="114"/>
      <c r="I58" s="114" t="s">
        <v>212</v>
      </c>
      <c r="J58" s="114"/>
      <c r="K58" s="165">
        <f>C14</f>
        <v>1730</v>
      </c>
      <c r="L58" s="114"/>
      <c r="M58" s="114"/>
      <c r="N58" s="165">
        <f>K58*C60/F60</f>
        <v>580.59625212947185</v>
      </c>
      <c r="O58" s="165"/>
      <c r="P58" s="165"/>
    </row>
    <row r="59" spans="1:16" ht="20.100000000000001" customHeight="1">
      <c r="A59" s="115" t="s">
        <v>225</v>
      </c>
      <c r="B59" s="116"/>
      <c r="C59" s="115">
        <f>C28</f>
        <v>80</v>
      </c>
      <c r="D59" s="117"/>
      <c r="E59" s="116"/>
      <c r="F59" s="119">
        <f>H28</f>
        <v>236</v>
      </c>
      <c r="G59" s="117"/>
      <c r="H59" s="116"/>
      <c r="I59" s="166" t="s">
        <v>227</v>
      </c>
      <c r="J59" s="167"/>
      <c r="K59" s="169"/>
      <c r="L59" s="170"/>
      <c r="M59" s="170"/>
      <c r="N59" s="170"/>
      <c r="O59" s="170"/>
      <c r="P59" s="171"/>
    </row>
    <row r="60" spans="1:16" ht="20.100000000000001" customHeight="1">
      <c r="A60" s="115" t="s">
        <v>283</v>
      </c>
      <c r="B60" s="116"/>
      <c r="C60" s="114">
        <f>C29</f>
        <v>78.8</v>
      </c>
      <c r="D60" s="114"/>
      <c r="E60" s="114"/>
      <c r="F60" s="118">
        <f>H29</f>
        <v>234.8</v>
      </c>
      <c r="G60" s="118"/>
      <c r="H60" s="118"/>
      <c r="I60" s="168"/>
      <c r="J60" s="168"/>
      <c r="K60" s="172"/>
      <c r="L60" s="173"/>
      <c r="M60" s="173"/>
      <c r="N60" s="173"/>
      <c r="O60" s="173"/>
      <c r="P60" s="174"/>
    </row>
    <row r="61" spans="1:16" ht="20.100000000000001" customHeight="1">
      <c r="A61" s="113" t="s">
        <v>353</v>
      </c>
      <c r="B61" s="113"/>
      <c r="C61" s="113">
        <v>50</v>
      </c>
      <c r="D61" s="113"/>
      <c r="E61" s="113"/>
      <c r="F61" s="113">
        <v>75</v>
      </c>
      <c r="G61" s="113"/>
      <c r="H61" s="113"/>
    </row>
    <row r="62" spans="1:16" ht="20.100000000000001" customHeight="1">
      <c r="A62" s="113" t="s">
        <v>352</v>
      </c>
      <c r="B62" s="113"/>
      <c r="C62" s="113" t="s">
        <v>465</v>
      </c>
      <c r="D62" s="113"/>
      <c r="E62" s="113"/>
      <c r="F62" s="113" t="s">
        <v>464</v>
      </c>
      <c r="G62" s="113"/>
      <c r="H62" s="113"/>
    </row>
    <row r="63" spans="1:16" ht="20.100000000000001" customHeight="1">
      <c r="A63" s="113" t="s">
        <v>354</v>
      </c>
      <c r="B63" s="113"/>
      <c r="C63" s="113">
        <v>17.399999999999999</v>
      </c>
      <c r="D63" s="113"/>
      <c r="E63" s="113"/>
      <c r="F63" s="113">
        <v>17.399999999999999</v>
      </c>
      <c r="G63" s="113"/>
      <c r="H63" s="113"/>
    </row>
    <row r="64" spans="1:1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</sheetData>
  <mergeCells count="111">
    <mergeCell ref="K58:M58"/>
    <mergeCell ref="E42:E43"/>
    <mergeCell ref="J38:L38"/>
    <mergeCell ref="I59:J60"/>
    <mergeCell ref="K59:P60"/>
    <mergeCell ref="K51:N51"/>
    <mergeCell ref="J49:L49"/>
    <mergeCell ref="M49:N49"/>
    <mergeCell ref="I50:J50"/>
    <mergeCell ref="K50:N50"/>
    <mergeCell ref="I51:J51"/>
    <mergeCell ref="C56:E56"/>
    <mergeCell ref="F56:H56"/>
    <mergeCell ref="K57:M57"/>
    <mergeCell ref="I56:J56"/>
    <mergeCell ref="K56:P56"/>
    <mergeCell ref="N57:P57"/>
    <mergeCell ref="K55:P55"/>
    <mergeCell ref="N58:P58"/>
    <mergeCell ref="I26:J26"/>
    <mergeCell ref="A40:B41"/>
    <mergeCell ref="C41:G41"/>
    <mergeCell ref="C40:G40"/>
    <mergeCell ref="F30:G30"/>
    <mergeCell ref="K34:L34"/>
    <mergeCell ref="J33:L33"/>
    <mergeCell ref="D33:E33"/>
    <mergeCell ref="I41:L41"/>
    <mergeCell ref="J36:L36"/>
    <mergeCell ref="K30:N30"/>
    <mergeCell ref="A50:D50"/>
    <mergeCell ref="E50:F50"/>
    <mergeCell ref="G50:H50"/>
    <mergeCell ref="A46:B47"/>
    <mergeCell ref="C46:E46"/>
    <mergeCell ref="F46:F47"/>
    <mergeCell ref="C47:E47"/>
    <mergeCell ref="K27:N27"/>
    <mergeCell ref="K29:N29"/>
    <mergeCell ref="F29:G29"/>
    <mergeCell ref="F28:G28"/>
    <mergeCell ref="H28:I28"/>
    <mergeCell ref="H29:I29"/>
    <mergeCell ref="M28:N28"/>
    <mergeCell ref="K28:L28"/>
    <mergeCell ref="K13:L13"/>
    <mergeCell ref="H13:I13"/>
    <mergeCell ref="F14:G14"/>
    <mergeCell ref="H14:I14"/>
    <mergeCell ref="I27:J27"/>
    <mergeCell ref="K26:N26"/>
    <mergeCell ref="M13:N13"/>
    <mergeCell ref="B17:B18"/>
    <mergeCell ref="C17:D18"/>
    <mergeCell ref="E17:E18"/>
    <mergeCell ref="F17:G18"/>
    <mergeCell ref="H17:H18"/>
    <mergeCell ref="M17:N17"/>
    <mergeCell ref="F13:G13"/>
    <mergeCell ref="C14:D14"/>
    <mergeCell ref="A13:B13"/>
    <mergeCell ref="C13:D13"/>
    <mergeCell ref="A27:D27"/>
    <mergeCell ref="A26:D26"/>
    <mergeCell ref="A14:B14"/>
    <mergeCell ref="G27:H27"/>
    <mergeCell ref="E26:F26"/>
    <mergeCell ref="E27:F27"/>
    <mergeCell ref="G26:H26"/>
    <mergeCell ref="A57:B57"/>
    <mergeCell ref="C57:H57"/>
    <mergeCell ref="A56:B56"/>
    <mergeCell ref="A55:B55"/>
    <mergeCell ref="C55:H55"/>
    <mergeCell ref="A28:B28"/>
    <mergeCell ref="H30:I30"/>
    <mergeCell ref="C28:D28"/>
    <mergeCell ref="I55:J55"/>
    <mergeCell ref="I57:J57"/>
    <mergeCell ref="A42:B43"/>
    <mergeCell ref="C42:D43"/>
    <mergeCell ref="A51:D51"/>
    <mergeCell ref="E51:F51"/>
    <mergeCell ref="G51:H51"/>
    <mergeCell ref="G46:G47"/>
    <mergeCell ref="A49:E49"/>
    <mergeCell ref="I46:M47"/>
    <mergeCell ref="F49:G49"/>
    <mergeCell ref="C30:D30"/>
    <mergeCell ref="A29:B29"/>
    <mergeCell ref="C29:D29"/>
    <mergeCell ref="A30:B30"/>
    <mergeCell ref="K39:M39"/>
    <mergeCell ref="A58:B58"/>
    <mergeCell ref="C58:H58"/>
    <mergeCell ref="A59:B59"/>
    <mergeCell ref="C59:E59"/>
    <mergeCell ref="A60:B60"/>
    <mergeCell ref="C60:E60"/>
    <mergeCell ref="F60:H60"/>
    <mergeCell ref="I58:J58"/>
    <mergeCell ref="F59:H59"/>
    <mergeCell ref="F61:H61"/>
    <mergeCell ref="F62:H62"/>
    <mergeCell ref="A63:B63"/>
    <mergeCell ref="C63:E63"/>
    <mergeCell ref="F63:H63"/>
    <mergeCell ref="A61:B61"/>
    <mergeCell ref="A62:B62"/>
    <mergeCell ref="C61:E61"/>
    <mergeCell ref="C62:E62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84"/>
  <sheetViews>
    <sheetView topLeftCell="A43" zoomScaleNormal="100" workbookViewId="0">
      <selection activeCell="P35" sqref="P35"/>
    </sheetView>
  </sheetViews>
  <sheetFormatPr defaultRowHeight="13.5"/>
  <cols>
    <col min="1" max="6" width="1.625" customWidth="1"/>
    <col min="7" max="7" width="1.25" customWidth="1"/>
    <col min="8" max="11" width="1.625" hidden="1" customWidth="1"/>
    <col min="12" max="12" width="11.125" hidden="1" customWidth="1"/>
    <col min="13" max="18" width="5.625" customWidth="1"/>
    <col min="19" max="19" width="7.375" customWidth="1"/>
    <col min="20" max="21" width="5.625" customWidth="1"/>
    <col min="22" max="22" width="8" customWidth="1"/>
    <col min="23" max="33" width="5.625" customWidth="1"/>
  </cols>
  <sheetData>
    <row r="1" spans="1:26" ht="21.95" customHeight="1">
      <c r="A1" s="37"/>
      <c r="N1" s="37" t="s">
        <v>263</v>
      </c>
    </row>
    <row r="2" spans="1:26" ht="21.95" customHeight="1">
      <c r="A2" s="2"/>
      <c r="D2" s="4"/>
      <c r="I2" s="6"/>
      <c r="J2" s="25"/>
      <c r="N2" s="2" t="s">
        <v>5</v>
      </c>
      <c r="O2" s="2" t="s">
        <v>259</v>
      </c>
      <c r="S2" s="4" t="s">
        <v>230</v>
      </c>
      <c r="X2" s="6" t="s">
        <v>179</v>
      </c>
      <c r="Y2" s="77">
        <v>15</v>
      </c>
      <c r="Z2" t="s">
        <v>0</v>
      </c>
    </row>
    <row r="3" spans="1:26" ht="21.95" customHeight="1">
      <c r="A3" s="2"/>
      <c r="D3" s="2"/>
      <c r="I3" s="6"/>
      <c r="J3" s="25"/>
      <c r="N3" s="2" t="s">
        <v>6</v>
      </c>
      <c r="O3" s="2" t="s">
        <v>268</v>
      </c>
    </row>
    <row r="4" spans="1:26" ht="21.95" customHeight="1">
      <c r="A4" s="2"/>
      <c r="D4" s="2"/>
      <c r="I4" s="6"/>
      <c r="J4" s="25"/>
      <c r="N4" s="2" t="s">
        <v>345</v>
      </c>
    </row>
    <row r="5" spans="1:26" ht="21.95" customHeight="1">
      <c r="A5" s="2"/>
      <c r="D5" s="2"/>
      <c r="I5" s="6"/>
      <c r="J5" s="25"/>
      <c r="O5" s="72" t="s">
        <v>260</v>
      </c>
      <c r="R5" t="s">
        <v>185</v>
      </c>
      <c r="U5" t="s">
        <v>261</v>
      </c>
    </row>
    <row r="6" spans="1:26" ht="21.95" customHeight="1">
      <c r="A6" s="2"/>
      <c r="D6" s="2"/>
      <c r="I6" s="6"/>
      <c r="J6" s="25"/>
      <c r="N6" s="2"/>
      <c r="O6" s="2"/>
    </row>
    <row r="7" spans="1:26" ht="21.95" customHeight="1">
      <c r="A7" s="2"/>
      <c r="D7" s="2"/>
      <c r="I7" s="6"/>
      <c r="J7" s="25"/>
      <c r="N7" s="38" t="s">
        <v>264</v>
      </c>
    </row>
    <row r="8" spans="1:26" ht="24.95" customHeight="1">
      <c r="A8" s="2"/>
      <c r="D8" s="2"/>
      <c r="I8" s="6"/>
      <c r="J8" s="51"/>
      <c r="N8" s="16"/>
      <c r="U8" s="36" t="s">
        <v>21</v>
      </c>
      <c r="V8" s="64">
        <v>1.5</v>
      </c>
      <c r="W8" t="s">
        <v>27</v>
      </c>
      <c r="X8" s="36" t="s">
        <v>22</v>
      </c>
      <c r="Y8" s="64">
        <v>583</v>
      </c>
    </row>
    <row r="9" spans="1:26" ht="26.25" customHeight="1">
      <c r="A9" s="89"/>
      <c r="B9" s="89"/>
      <c r="C9" s="89"/>
      <c r="D9" s="89"/>
      <c r="E9" s="89"/>
      <c r="F9" s="89"/>
      <c r="G9" s="89"/>
      <c r="H9" s="188" t="s">
        <v>181</v>
      </c>
      <c r="I9" s="189"/>
      <c r="J9" s="190">
        <f>D9</f>
        <v>0</v>
      </c>
      <c r="K9" s="188"/>
      <c r="L9" s="189"/>
      <c r="N9" s="111" t="s">
        <v>24</v>
      </c>
      <c r="O9" s="107" t="s">
        <v>26</v>
      </c>
      <c r="P9" s="138"/>
      <c r="R9" s="138" t="s">
        <v>1</v>
      </c>
      <c r="S9" s="182">
        <f>IF(V9="","",(16*V9/(PI()*V10))^(1/3))</f>
        <v>12.921791546779827</v>
      </c>
      <c r="T9" s="107" t="s">
        <v>0</v>
      </c>
      <c r="U9" s="32" t="s">
        <v>25</v>
      </c>
      <c r="V9" s="73">
        <f>IF(OR(V8="",Y8=""),"",9.55*10^6*V8/Y8)</f>
        <v>24571.183533447685</v>
      </c>
      <c r="W9" s="14" t="s">
        <v>3</v>
      </c>
    </row>
    <row r="10" spans="1:26" ht="24.95" customHeight="1">
      <c r="A10" s="89"/>
      <c r="B10" s="89"/>
      <c r="C10" s="89"/>
      <c r="D10" s="89"/>
      <c r="E10" s="89"/>
      <c r="F10" s="89"/>
      <c r="G10" s="89"/>
      <c r="H10" s="188" t="s">
        <v>182</v>
      </c>
      <c r="I10" s="189"/>
      <c r="J10" s="190" t="s">
        <v>188</v>
      </c>
      <c r="K10" s="188"/>
      <c r="L10" s="189"/>
      <c r="N10" s="107"/>
      <c r="O10" s="107" t="s">
        <v>19</v>
      </c>
      <c r="P10" s="138"/>
      <c r="R10" s="138"/>
      <c r="S10" s="183"/>
      <c r="T10" s="107"/>
      <c r="U10" s="33" t="s">
        <v>20</v>
      </c>
      <c r="V10" s="64">
        <v>58</v>
      </c>
      <c r="W10" s="4"/>
      <c r="X10" t="s">
        <v>346</v>
      </c>
    </row>
    <row r="11" spans="1:26" ht="24.95" customHeight="1">
      <c r="A11" s="89"/>
      <c r="B11" s="89"/>
      <c r="C11" s="89"/>
      <c r="D11" s="89"/>
      <c r="E11" s="89"/>
      <c r="F11" s="89"/>
      <c r="G11" s="89"/>
      <c r="H11" s="188" t="s">
        <v>183</v>
      </c>
      <c r="I11" s="189"/>
      <c r="J11" s="190" t="s">
        <v>186</v>
      </c>
      <c r="K11" s="188"/>
      <c r="L11" s="189"/>
      <c r="N11" s="38" t="s">
        <v>265</v>
      </c>
    </row>
    <row r="12" spans="1:26" ht="24.95" customHeight="1">
      <c r="A12" s="89"/>
      <c r="B12" s="89"/>
      <c r="C12" s="89"/>
      <c r="D12" s="89"/>
      <c r="E12" s="89"/>
      <c r="F12" s="89"/>
      <c r="G12" s="89"/>
      <c r="H12" s="188" t="s">
        <v>184</v>
      </c>
      <c r="I12" s="189"/>
      <c r="J12" s="190" t="s">
        <v>187</v>
      </c>
      <c r="K12" s="188"/>
      <c r="L12" s="189"/>
      <c r="N12" s="179" t="s">
        <v>15</v>
      </c>
      <c r="O12" s="107" t="s">
        <v>17</v>
      </c>
      <c r="P12" s="107"/>
      <c r="Q12" s="107"/>
      <c r="U12" s="35" t="s">
        <v>16</v>
      </c>
      <c r="V12" s="81">
        <f>IF(Y8="","",9.55*10^6*V8/Y8)</f>
        <v>24571.183533447685</v>
      </c>
      <c r="W12" s="4" t="s">
        <v>3</v>
      </c>
    </row>
    <row r="13" spans="1:26" ht="24.95" customHeight="1">
      <c r="A13" s="2"/>
      <c r="D13" s="2"/>
      <c r="I13" s="6"/>
      <c r="J13" s="51"/>
      <c r="N13" s="179"/>
      <c r="O13" s="107" t="s">
        <v>18</v>
      </c>
      <c r="P13" s="107"/>
      <c r="Q13" s="107"/>
      <c r="U13" s="35" t="s">
        <v>4</v>
      </c>
      <c r="V13" s="64">
        <v>1000</v>
      </c>
      <c r="W13" s="4" t="s">
        <v>0</v>
      </c>
    </row>
    <row r="14" spans="1:26" ht="24.75" customHeight="1">
      <c r="O14" s="7"/>
      <c r="P14" s="7"/>
      <c r="U14" s="35" t="s">
        <v>10</v>
      </c>
      <c r="V14" s="64">
        <v>79.400000000000006</v>
      </c>
      <c r="W14" s="4"/>
    </row>
    <row r="15" spans="1:26" ht="24.95" customHeight="1">
      <c r="A15" s="5"/>
      <c r="N15" s="12" t="s">
        <v>1</v>
      </c>
      <c r="O15" s="180">
        <f>IF(V15="","",(32*V12*V13/(1000*PI()*V14*V16))^(1/4))</f>
        <v>29.153927920214997</v>
      </c>
      <c r="P15" s="181"/>
      <c r="Q15" t="s">
        <v>0</v>
      </c>
      <c r="U15" s="35" t="s">
        <v>14</v>
      </c>
      <c r="V15" s="76">
        <f>1/4</f>
        <v>0.25</v>
      </c>
      <c r="W15" s="4" t="s">
        <v>12</v>
      </c>
    </row>
    <row r="16" spans="1:26" ht="24.95" customHeight="1">
      <c r="A16" s="38"/>
      <c r="U16" s="8" t="s">
        <v>1</v>
      </c>
      <c r="V16" s="4">
        <f>V15/180*PI()</f>
        <v>4.3633231299858239E-3</v>
      </c>
      <c r="W16" t="s">
        <v>13</v>
      </c>
    </row>
    <row r="17" spans="1:25" ht="24.95" customHeight="1">
      <c r="A17" s="16"/>
      <c r="H17" s="36"/>
      <c r="I17" s="34"/>
      <c r="K17" s="36"/>
      <c r="L17" s="34"/>
      <c r="N17" s="38" t="s">
        <v>266</v>
      </c>
    </row>
    <row r="18" spans="1:25" ht="24.95" customHeight="1">
      <c r="A18" s="111"/>
      <c r="B18" s="107"/>
      <c r="C18" s="107"/>
      <c r="E18" s="185"/>
      <c r="F18" s="184"/>
      <c r="G18" s="186"/>
      <c r="H18" s="94"/>
      <c r="I18" s="49"/>
      <c r="J18" s="14"/>
      <c r="O18" s="5" t="s">
        <v>11</v>
      </c>
      <c r="P18" s="177" t="s">
        <v>235</v>
      </c>
      <c r="Q18" s="177"/>
      <c r="R18" s="3" t="s">
        <v>9</v>
      </c>
      <c r="S18" s="74">
        <f>O15+U19</f>
        <v>34.153927920214997</v>
      </c>
      <c r="T18" s="6" t="s">
        <v>175</v>
      </c>
      <c r="U18" s="178" t="s">
        <v>176</v>
      </c>
      <c r="V18" s="178"/>
      <c r="W18" s="178"/>
      <c r="X18" s="178"/>
    </row>
    <row r="19" spans="1:25" ht="24.95" customHeight="1">
      <c r="A19" s="111"/>
      <c r="B19" s="107"/>
      <c r="C19" s="107"/>
      <c r="E19" s="185"/>
      <c r="F19" s="184"/>
      <c r="G19" s="186"/>
      <c r="H19" s="95"/>
      <c r="I19" s="34"/>
      <c r="J19" s="4"/>
      <c r="O19" s="45" t="s">
        <v>178</v>
      </c>
      <c r="P19" s="9">
        <v>35</v>
      </c>
      <c r="Q19" t="s">
        <v>0</v>
      </c>
      <c r="T19" s="6" t="s">
        <v>234</v>
      </c>
      <c r="U19" s="75">
        <v>5</v>
      </c>
      <c r="V19" s="4" t="s">
        <v>0</v>
      </c>
      <c r="W19" s="43"/>
      <c r="X19" s="43"/>
      <c r="Y19" s="10"/>
    </row>
    <row r="20" spans="1:25" ht="24.95" customHeight="1">
      <c r="A20" s="38"/>
      <c r="N20" s="2"/>
      <c r="O20" t="s">
        <v>236</v>
      </c>
      <c r="U20" s="43" t="s">
        <v>233</v>
      </c>
    </row>
    <row r="21" spans="1:25" ht="24.95" customHeight="1">
      <c r="A21" s="179"/>
      <c r="B21" s="107"/>
      <c r="C21" s="107"/>
      <c r="D21" s="107"/>
      <c r="H21" s="35"/>
      <c r="I21" s="24"/>
      <c r="J21" s="4"/>
      <c r="N21" s="2" t="s">
        <v>7</v>
      </c>
      <c r="O21" s="2" t="s">
        <v>267</v>
      </c>
    </row>
    <row r="22" spans="1:25" ht="24.95" customHeight="1">
      <c r="A22" s="179"/>
      <c r="B22" s="107"/>
      <c r="C22" s="107"/>
      <c r="D22" s="107"/>
      <c r="H22" s="35"/>
      <c r="I22" s="28"/>
      <c r="J22" s="4"/>
      <c r="N22" s="38" t="s">
        <v>264</v>
      </c>
    </row>
    <row r="23" spans="1:25" ht="24.95" customHeight="1">
      <c r="B23" s="7"/>
      <c r="C23" s="7"/>
      <c r="H23" s="35"/>
      <c r="I23" s="28"/>
      <c r="J23" s="4"/>
      <c r="N23" s="16" t="s">
        <v>23</v>
      </c>
      <c r="U23" s="36" t="s">
        <v>21</v>
      </c>
      <c r="V23" s="64">
        <v>1.5</v>
      </c>
      <c r="W23" t="s">
        <v>27</v>
      </c>
      <c r="X23" s="36" t="s">
        <v>22</v>
      </c>
      <c r="Y23" s="64">
        <v>121</v>
      </c>
    </row>
    <row r="24" spans="1:25" ht="24.95" customHeight="1">
      <c r="A24" s="12"/>
      <c r="B24" s="187"/>
      <c r="C24" s="187"/>
      <c r="H24" s="35"/>
      <c r="I24" s="50"/>
      <c r="J24" s="4"/>
      <c r="N24" s="111" t="s">
        <v>24</v>
      </c>
      <c r="O24" s="107" t="s">
        <v>26</v>
      </c>
      <c r="P24" s="138"/>
      <c r="R24" s="138" t="s">
        <v>1</v>
      </c>
      <c r="S24" s="182">
        <f>IF(V24="","",(16*V24/(PI()*V25))^(1/3))</f>
        <v>21.824809364079389</v>
      </c>
      <c r="T24" s="107" t="s">
        <v>0</v>
      </c>
      <c r="U24" s="32" t="s">
        <v>25</v>
      </c>
      <c r="V24" s="73">
        <f>IF(OR(V23="",Y23=""),"",9.55*10^6*V23/Y23)</f>
        <v>118388.42975206612</v>
      </c>
      <c r="W24" s="14" t="s">
        <v>3</v>
      </c>
    </row>
    <row r="25" spans="1:25" ht="24.95" customHeight="1">
      <c r="H25" s="8"/>
      <c r="I25" s="4"/>
      <c r="N25" s="107"/>
      <c r="O25" s="107" t="s">
        <v>19</v>
      </c>
      <c r="P25" s="138"/>
      <c r="R25" s="138"/>
      <c r="S25" s="183"/>
      <c r="T25" s="107"/>
      <c r="U25" s="33" t="s">
        <v>20</v>
      </c>
      <c r="V25" s="64">
        <v>58</v>
      </c>
      <c r="W25" s="4"/>
    </row>
    <row r="26" spans="1:25" ht="24.95" customHeight="1">
      <c r="A26" s="38"/>
      <c r="N26" s="38" t="s">
        <v>265</v>
      </c>
    </row>
    <row r="27" spans="1:25" ht="24.95" customHeight="1">
      <c r="B27" s="5"/>
      <c r="C27" s="177"/>
      <c r="D27" s="177"/>
      <c r="E27" s="3"/>
      <c r="F27" s="96"/>
      <c r="G27" s="6"/>
      <c r="H27" s="178"/>
      <c r="I27" s="178"/>
      <c r="J27" s="178"/>
      <c r="K27" s="178"/>
      <c r="N27" s="179" t="s">
        <v>15</v>
      </c>
      <c r="O27" s="107" t="s">
        <v>17</v>
      </c>
      <c r="P27" s="107"/>
      <c r="Q27" s="107"/>
      <c r="U27" s="35" t="s">
        <v>16</v>
      </c>
      <c r="V27" s="24">
        <f>IF(Y23="","",9.55*10^6*V23/Y23)</f>
        <v>118388.42975206612</v>
      </c>
      <c r="W27" s="4" t="s">
        <v>3</v>
      </c>
    </row>
    <row r="28" spans="1:25" ht="24.95" customHeight="1">
      <c r="B28" s="45"/>
      <c r="C28" s="9"/>
      <c r="G28" s="6"/>
      <c r="H28" s="60"/>
      <c r="I28" s="4"/>
      <c r="J28" s="43"/>
      <c r="K28" s="43"/>
      <c r="L28" s="10"/>
      <c r="N28" s="179"/>
      <c r="O28" s="107" t="s">
        <v>18</v>
      </c>
      <c r="P28" s="107"/>
      <c r="Q28" s="107"/>
      <c r="U28" s="35" t="s">
        <v>4</v>
      </c>
      <c r="V28" s="64">
        <v>1000</v>
      </c>
      <c r="W28" s="4" t="s">
        <v>0</v>
      </c>
    </row>
    <row r="29" spans="1:25" ht="23.1" customHeight="1">
      <c r="A29" s="2"/>
      <c r="H29" s="43"/>
      <c r="O29" s="7"/>
      <c r="P29" s="7"/>
      <c r="U29" s="35" t="s">
        <v>10</v>
      </c>
      <c r="V29" s="64">
        <v>79.400000000000006</v>
      </c>
      <c r="W29" s="4"/>
    </row>
    <row r="30" spans="1:25" ht="23.1" customHeight="1">
      <c r="A30" s="5"/>
      <c r="N30" s="12" t="s">
        <v>1</v>
      </c>
      <c r="O30" s="180">
        <f>IF(V30="","",(32*V27*V28/(1000*PI()*V29*V31))^(1/4))</f>
        <v>43.193447800261495</v>
      </c>
      <c r="P30" s="181"/>
      <c r="Q30" t="s">
        <v>0</v>
      </c>
      <c r="U30" s="35" t="s">
        <v>14</v>
      </c>
      <c r="V30" s="76">
        <f>1/4</f>
        <v>0.25</v>
      </c>
      <c r="W30" s="4" t="s">
        <v>12</v>
      </c>
    </row>
    <row r="31" spans="1:25" ht="23.1" customHeight="1">
      <c r="A31" s="38"/>
      <c r="U31" s="8" t="s">
        <v>1</v>
      </c>
      <c r="V31" s="4">
        <f>V30/180*PI()</f>
        <v>4.3633231299858239E-3</v>
      </c>
      <c r="W31" t="s">
        <v>13</v>
      </c>
    </row>
    <row r="32" spans="1:25" ht="23.1" customHeight="1">
      <c r="A32" s="16"/>
      <c r="H32" s="36"/>
      <c r="I32" s="34"/>
      <c r="K32" s="36"/>
      <c r="L32" s="34"/>
      <c r="N32" s="38" t="s">
        <v>266</v>
      </c>
    </row>
    <row r="33" spans="1:25" ht="23.1" customHeight="1">
      <c r="A33" s="111"/>
      <c r="B33" s="107"/>
      <c r="C33" s="107"/>
      <c r="E33" s="185"/>
      <c r="F33" s="184"/>
      <c r="G33" s="186"/>
      <c r="H33" s="94"/>
      <c r="I33" s="49"/>
      <c r="J33" s="14"/>
      <c r="O33" s="5" t="s">
        <v>11</v>
      </c>
      <c r="P33" s="177" t="s">
        <v>177</v>
      </c>
      <c r="Q33" s="177"/>
      <c r="R33" s="3" t="s">
        <v>9</v>
      </c>
      <c r="S33" s="74">
        <f>O30+U34</f>
        <v>49.193447800261495</v>
      </c>
      <c r="T33" s="6" t="s">
        <v>175</v>
      </c>
      <c r="U33" s="178" t="s">
        <v>176</v>
      </c>
      <c r="V33" s="178"/>
      <c r="W33" s="178"/>
      <c r="X33" s="178"/>
    </row>
    <row r="34" spans="1:25" ht="23.1" customHeight="1">
      <c r="A34" s="111"/>
      <c r="B34" s="107"/>
      <c r="C34" s="107"/>
      <c r="E34" s="185"/>
      <c r="F34" s="184"/>
      <c r="G34" s="186"/>
      <c r="H34" s="95"/>
      <c r="I34" s="34"/>
      <c r="J34" s="4"/>
      <c r="O34" s="45" t="s">
        <v>178</v>
      </c>
      <c r="P34" s="9">
        <v>50</v>
      </c>
      <c r="Q34" t="s">
        <v>0</v>
      </c>
      <c r="T34" s="6" t="s">
        <v>234</v>
      </c>
      <c r="U34" s="75">
        <v>6</v>
      </c>
      <c r="V34" s="4" t="s">
        <v>0</v>
      </c>
      <c r="W34" s="43"/>
      <c r="X34" s="43"/>
      <c r="Y34" s="10"/>
    </row>
    <row r="35" spans="1:25" ht="23.1" customHeight="1">
      <c r="A35" s="38"/>
      <c r="M35" s="4"/>
      <c r="N35" s="2"/>
      <c r="O35" t="s">
        <v>236</v>
      </c>
      <c r="U35" s="43" t="s">
        <v>258</v>
      </c>
      <c r="V35" s="4"/>
    </row>
    <row r="36" spans="1:25" ht="24.95" customHeight="1">
      <c r="H36" s="8"/>
      <c r="I36" s="4"/>
    </row>
    <row r="37" spans="1:25" ht="24.95" customHeight="1">
      <c r="A37" s="38"/>
    </row>
    <row r="38" spans="1:25" ht="24.95" customHeight="1">
      <c r="B38" s="5"/>
      <c r="C38" s="177"/>
      <c r="D38" s="177"/>
      <c r="E38" s="3"/>
      <c r="F38" s="96"/>
      <c r="G38" s="6"/>
      <c r="H38" s="178"/>
      <c r="I38" s="178"/>
      <c r="J38" s="178"/>
      <c r="K38" s="178"/>
    </row>
    <row r="39" spans="1:25" ht="24.95" customHeight="1">
      <c r="B39" s="45"/>
      <c r="C39" s="9"/>
      <c r="G39" s="6"/>
      <c r="H39" s="60"/>
      <c r="I39" s="4"/>
      <c r="J39" s="43"/>
      <c r="K39" s="43"/>
      <c r="L39" s="10"/>
    </row>
    <row r="40" spans="1:25" ht="24.95" customHeight="1">
      <c r="A40" s="2"/>
      <c r="H40" s="43"/>
      <c r="I40" s="4"/>
    </row>
    <row r="41" spans="1:25" ht="24.95" customHeight="1">
      <c r="H41" s="8"/>
      <c r="I41" s="4"/>
    </row>
    <row r="42" spans="1:25" ht="24.95" customHeight="1">
      <c r="H42" s="8"/>
      <c r="I42" s="4"/>
    </row>
    <row r="43" spans="1:25" ht="24.95" customHeight="1">
      <c r="H43" s="8"/>
      <c r="I43" s="4"/>
    </row>
    <row r="44" spans="1:25" ht="24.75" customHeight="1">
      <c r="H44" s="8"/>
      <c r="I44" s="4"/>
    </row>
    <row r="45" spans="1:25" ht="24.95" customHeight="1">
      <c r="H45" s="8"/>
      <c r="I45" s="4"/>
    </row>
    <row r="46" spans="1:25" ht="24.95" customHeight="1">
      <c r="H46" s="8"/>
      <c r="I46" s="4"/>
    </row>
    <row r="47" spans="1:25" ht="24.95" customHeight="1">
      <c r="H47" s="8"/>
      <c r="I47" s="4"/>
    </row>
    <row r="48" spans="1:25" ht="24.95" customHeight="1">
      <c r="H48" s="8"/>
      <c r="I48" s="4"/>
    </row>
    <row r="49" spans="8:9" ht="24.95" customHeight="1">
      <c r="H49" s="8"/>
      <c r="I49" s="4"/>
    </row>
    <row r="50" spans="8:9" ht="24.95" customHeight="1"/>
    <row r="51" spans="8:9" ht="24.95" customHeight="1"/>
    <row r="52" spans="8:9" ht="24.95" customHeight="1"/>
    <row r="53" spans="8:9" ht="24.95" customHeight="1"/>
    <row r="54" spans="8:9" ht="24.95" customHeight="1"/>
    <row r="55" spans="8:9" ht="24.95" customHeight="1"/>
    <row r="56" spans="8:9" ht="24.95" customHeight="1"/>
    <row r="57" spans="8:9" ht="24.95" customHeight="1"/>
    <row r="58" spans="8:9" ht="24.95" customHeight="1"/>
    <row r="59" spans="8:9" ht="24.95" customHeight="1"/>
    <row r="60" spans="8:9" ht="24.95" customHeight="1"/>
    <row r="61" spans="8:9" ht="24.95" customHeight="1"/>
    <row r="62" spans="8:9" ht="24.95" customHeight="1"/>
    <row r="63" spans="8:9" ht="24.95" customHeight="1"/>
    <row r="64" spans="8:9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</sheetData>
  <mergeCells count="52">
    <mergeCell ref="A18:A19"/>
    <mergeCell ref="E33:E34"/>
    <mergeCell ref="F33:F34"/>
    <mergeCell ref="G33:G34"/>
    <mergeCell ref="B34:C34"/>
    <mergeCell ref="A21:A22"/>
    <mergeCell ref="B21:D21"/>
    <mergeCell ref="B22:D22"/>
    <mergeCell ref="C27:D27"/>
    <mergeCell ref="A33:A34"/>
    <mergeCell ref="H9:I9"/>
    <mergeCell ref="H10:I10"/>
    <mergeCell ref="H27:K27"/>
    <mergeCell ref="H11:I11"/>
    <mergeCell ref="H12:I12"/>
    <mergeCell ref="J9:L9"/>
    <mergeCell ref="J11:L11"/>
    <mergeCell ref="J12:L12"/>
    <mergeCell ref="J10:L10"/>
    <mergeCell ref="C38:D38"/>
    <mergeCell ref="H38:K38"/>
    <mergeCell ref="F18:F19"/>
    <mergeCell ref="B18:C18"/>
    <mergeCell ref="E18:E19"/>
    <mergeCell ref="G18:G19"/>
    <mergeCell ref="B19:C19"/>
    <mergeCell ref="B24:C24"/>
    <mergeCell ref="B33:C33"/>
    <mergeCell ref="T9:T10"/>
    <mergeCell ref="O10:P10"/>
    <mergeCell ref="N12:N13"/>
    <mergeCell ref="O12:Q12"/>
    <mergeCell ref="O13:Q13"/>
    <mergeCell ref="N9:N10"/>
    <mergeCell ref="O9:P9"/>
    <mergeCell ref="R9:R10"/>
    <mergeCell ref="S9:S10"/>
    <mergeCell ref="O15:P15"/>
    <mergeCell ref="P18:Q18"/>
    <mergeCell ref="U18:X18"/>
    <mergeCell ref="N24:N25"/>
    <mergeCell ref="O24:P24"/>
    <mergeCell ref="R24:R25"/>
    <mergeCell ref="S24:S25"/>
    <mergeCell ref="T24:T25"/>
    <mergeCell ref="O25:P25"/>
    <mergeCell ref="P33:Q33"/>
    <mergeCell ref="U33:X33"/>
    <mergeCell ref="N27:N28"/>
    <mergeCell ref="O27:Q27"/>
    <mergeCell ref="O28:Q28"/>
    <mergeCell ref="O30:P30"/>
  </mergeCells>
  <phoneticPr fontId="2"/>
  <pageMargins left="0.78740157480314965" right="0.59055118110236227" top="0.59055118110236227" bottom="0.39370078740157483" header="0" footer="0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98"/>
  <sheetViews>
    <sheetView view="pageBreakPreview" topLeftCell="A79" zoomScale="80" zoomScaleNormal="100" zoomScaleSheetLayoutView="80" workbookViewId="0">
      <selection activeCell="D8" sqref="D8:E8"/>
    </sheetView>
  </sheetViews>
  <sheetFormatPr defaultRowHeight="13.5"/>
  <cols>
    <col min="1" max="1" width="5.625" customWidth="1"/>
    <col min="2" max="2" width="8.625" customWidth="1"/>
    <col min="3" max="3" width="7.375" customWidth="1"/>
    <col min="4" max="4" width="5.625" customWidth="1"/>
    <col min="5" max="5" width="6.375" customWidth="1"/>
    <col min="6" max="6" width="5.375" customWidth="1"/>
    <col min="7" max="7" width="5.625" customWidth="1"/>
    <col min="8" max="8" width="6" customWidth="1"/>
    <col min="9" max="9" width="9.75" customWidth="1"/>
    <col min="10" max="10" width="8.625" style="3" customWidth="1"/>
    <col min="11" max="11" width="5.625" customWidth="1"/>
    <col min="12" max="12" width="8.625" customWidth="1"/>
    <col min="13" max="13" width="5.75" customWidth="1"/>
    <col min="14" max="15" width="5.625" customWidth="1"/>
    <col min="16" max="16" width="6" customWidth="1"/>
    <col min="17" max="17" width="7.125" customWidth="1"/>
    <col min="18" max="18" width="5.875" customWidth="1"/>
    <col min="19" max="19" width="7.125" customWidth="1"/>
    <col min="20" max="20" width="5.375" customWidth="1"/>
    <col min="21" max="21" width="5.625" customWidth="1"/>
    <col min="22" max="22" width="6.875" customWidth="1"/>
    <col min="23" max="24" width="5.625" customWidth="1"/>
    <col min="25" max="25" width="8.75" customWidth="1"/>
    <col min="26" max="34" width="5.625" customWidth="1"/>
  </cols>
  <sheetData>
    <row r="1" spans="1:13" ht="24.95" customHeight="1">
      <c r="A1" s="5" t="s">
        <v>270</v>
      </c>
      <c r="J1"/>
    </row>
    <row r="2" spans="1:13" ht="24.95" customHeight="1">
      <c r="A2" s="5" t="s">
        <v>189</v>
      </c>
      <c r="J2"/>
    </row>
    <row r="3" spans="1:13" ht="24.95" customHeight="1">
      <c r="A3" s="203" t="s">
        <v>46</v>
      </c>
      <c r="B3" s="204"/>
      <c r="C3" s="77">
        <v>1.5</v>
      </c>
      <c r="D3" s="4" t="s">
        <v>27</v>
      </c>
      <c r="E3" s="213" t="s">
        <v>93</v>
      </c>
      <c r="F3" s="214"/>
      <c r="G3" s="214"/>
      <c r="H3" s="214"/>
      <c r="I3" s="215"/>
      <c r="J3" s="81">
        <f>ROUNDDOWN(D7*2.5,-1)</f>
        <v>130</v>
      </c>
      <c r="K3" s="4" t="s">
        <v>90</v>
      </c>
    </row>
    <row r="4" spans="1:13" ht="24.95" customHeight="1">
      <c r="A4" s="203" t="s">
        <v>191</v>
      </c>
      <c r="B4" s="204"/>
      <c r="C4" s="80">
        <v>582</v>
      </c>
      <c r="D4" s="4" t="s">
        <v>49</v>
      </c>
      <c r="E4" s="216" t="s">
        <v>70</v>
      </c>
      <c r="F4" s="217"/>
      <c r="G4" s="217"/>
      <c r="H4" s="217"/>
      <c r="I4" s="218"/>
      <c r="J4" s="77">
        <v>4.83</v>
      </c>
    </row>
    <row r="5" spans="1:13" ht="24.95" customHeight="1">
      <c r="A5" s="203" t="s">
        <v>192</v>
      </c>
      <c r="B5" s="204"/>
      <c r="C5" s="84">
        <f>ROUNDUP(C4/J4,0)</f>
        <v>121</v>
      </c>
      <c r="D5" s="4" t="s">
        <v>49</v>
      </c>
      <c r="E5" s="203" t="s">
        <v>94</v>
      </c>
      <c r="F5" s="229"/>
      <c r="G5" s="229"/>
      <c r="H5" s="229"/>
      <c r="I5" s="204"/>
      <c r="J5" s="77">
        <v>5</v>
      </c>
    </row>
    <row r="6" spans="1:13" ht="24.95" customHeight="1">
      <c r="A6" s="2" t="s">
        <v>281</v>
      </c>
      <c r="J6"/>
    </row>
    <row r="7" spans="1:13" ht="24.95" customHeight="1">
      <c r="A7" s="2" t="s">
        <v>276</v>
      </c>
      <c r="D7" s="206">
        <v>55</v>
      </c>
      <c r="E7" s="207"/>
      <c r="F7" s="4" t="s">
        <v>45</v>
      </c>
      <c r="G7" s="4" t="s">
        <v>180</v>
      </c>
      <c r="H7" s="134" t="s">
        <v>200</v>
      </c>
      <c r="I7" s="134"/>
      <c r="J7" s="15" t="str">
        <f>I22</f>
        <v>σＦｌｉｍ＝</v>
      </c>
      <c r="K7" s="4">
        <v>186</v>
      </c>
      <c r="L7" s="4" t="str">
        <f>I29</f>
        <v>σHｌｉｍ＝</v>
      </c>
      <c r="M7" s="4">
        <v>480</v>
      </c>
    </row>
    <row r="8" spans="1:13" ht="24.95" customHeight="1">
      <c r="A8" s="2" t="s">
        <v>277</v>
      </c>
      <c r="D8" s="206">
        <v>48</v>
      </c>
      <c r="E8" s="207"/>
      <c r="F8" s="4" t="s">
        <v>50</v>
      </c>
      <c r="G8" s="4" t="s">
        <v>180</v>
      </c>
      <c r="H8" s="134" t="s">
        <v>199</v>
      </c>
      <c r="I8" s="134"/>
      <c r="J8" s="15" t="str">
        <f>J7</f>
        <v>σＦｌｉｍ＝</v>
      </c>
      <c r="K8" s="4">
        <v>97.5</v>
      </c>
      <c r="L8" s="4" t="str">
        <f>L7</f>
        <v>σHｌｉｍ＝</v>
      </c>
      <c r="M8" s="4">
        <v>365</v>
      </c>
    </row>
    <row r="9" spans="1:13" ht="24.95" customHeight="1">
      <c r="J9"/>
    </row>
    <row r="10" spans="1:13" ht="24.95" customHeight="1">
      <c r="A10" s="2" t="s">
        <v>271</v>
      </c>
      <c r="J10"/>
    </row>
    <row r="11" spans="1:13" ht="24.95" customHeight="1">
      <c r="A11" s="114" t="s">
        <v>72</v>
      </c>
      <c r="B11" s="114"/>
      <c r="C11" s="114"/>
      <c r="D11" s="25">
        <v>1.25</v>
      </c>
      <c r="E11" s="25">
        <v>1.5</v>
      </c>
      <c r="F11" s="25">
        <v>2</v>
      </c>
      <c r="G11" s="25">
        <v>2.5</v>
      </c>
      <c r="H11" s="25">
        <v>3</v>
      </c>
      <c r="I11" s="23">
        <v>4</v>
      </c>
      <c r="J11" s="23">
        <v>5</v>
      </c>
      <c r="K11" s="23">
        <v>6</v>
      </c>
      <c r="L11" s="26" t="s">
        <v>71</v>
      </c>
    </row>
    <row r="12" spans="1:13" ht="24.95" customHeight="1">
      <c r="A12" s="212" t="s">
        <v>68</v>
      </c>
      <c r="B12" s="212"/>
      <c r="C12" s="212"/>
      <c r="D12" s="28">
        <f t="shared" ref="D12:K12" si="0">$J$3/D$11</f>
        <v>104</v>
      </c>
      <c r="E12" s="28">
        <f t="shared" si="0"/>
        <v>86.666666666666671</v>
      </c>
      <c r="F12" s="28">
        <f t="shared" si="0"/>
        <v>65</v>
      </c>
      <c r="G12" s="28">
        <f t="shared" si="0"/>
        <v>52</v>
      </c>
      <c r="H12" s="28">
        <f t="shared" si="0"/>
        <v>43.333333333333336</v>
      </c>
      <c r="I12" s="28">
        <f t="shared" si="0"/>
        <v>32.5</v>
      </c>
      <c r="J12" s="28">
        <v>22</v>
      </c>
      <c r="K12" s="28">
        <f t="shared" si="0"/>
        <v>21.666666666666668</v>
      </c>
      <c r="L12" s="27"/>
    </row>
    <row r="13" spans="1:13" ht="24.95" customHeight="1">
      <c r="A13" s="212" t="s">
        <v>69</v>
      </c>
      <c r="B13" s="212"/>
      <c r="C13" s="212"/>
      <c r="D13" s="28">
        <f t="shared" ref="D13:K13" si="1">D12*$L$13</f>
        <v>502.32</v>
      </c>
      <c r="E13" s="28">
        <f t="shared" si="1"/>
        <v>418.6</v>
      </c>
      <c r="F13" s="28">
        <f t="shared" si="1"/>
        <v>313.95</v>
      </c>
      <c r="G13" s="28">
        <f t="shared" si="1"/>
        <v>251.16</v>
      </c>
      <c r="H13" s="28">
        <f t="shared" si="1"/>
        <v>209.3</v>
      </c>
      <c r="I13" s="28">
        <f t="shared" si="1"/>
        <v>156.97499999999999</v>
      </c>
      <c r="J13" s="28">
        <f t="shared" si="1"/>
        <v>106.26</v>
      </c>
      <c r="K13" s="28">
        <f t="shared" si="1"/>
        <v>104.65</v>
      </c>
      <c r="L13" s="62">
        <v>4.83</v>
      </c>
    </row>
    <row r="14" spans="1:13" ht="24.95" customHeight="1">
      <c r="A14" s="4" t="s">
        <v>269</v>
      </c>
      <c r="I14" s="4"/>
    </row>
    <row r="15" spans="1:13" ht="24.95" customHeight="1">
      <c r="A15" s="52" t="s">
        <v>190</v>
      </c>
      <c r="B15" s="52"/>
      <c r="C15" s="19"/>
    </row>
    <row r="16" spans="1:13" ht="24.95" customHeight="1">
      <c r="A16" s="53" t="s">
        <v>272</v>
      </c>
      <c r="B16" s="52"/>
      <c r="C16" s="19"/>
    </row>
    <row r="17" spans="1:25" ht="24.95" customHeight="1">
      <c r="A17" s="2" t="s">
        <v>273</v>
      </c>
    </row>
    <row r="18" spans="1:25" ht="24.95" customHeight="1">
      <c r="B18" s="177" t="s">
        <v>51</v>
      </c>
      <c r="C18" s="111" t="s">
        <v>52</v>
      </c>
      <c r="D18" s="138"/>
      <c r="E18" s="138" t="s">
        <v>53</v>
      </c>
      <c r="F18" s="208">
        <f>PI()*(K18*K19*K20)/(1000*60)</f>
        <v>3.3520793613803095</v>
      </c>
      <c r="G18" s="209"/>
      <c r="H18" s="107" t="s">
        <v>54</v>
      </c>
      <c r="I18" s="6"/>
      <c r="J18" s="17" t="s">
        <v>55</v>
      </c>
      <c r="K18" s="80">
        <f>C4</f>
        <v>582</v>
      </c>
      <c r="L18" s="4" t="s">
        <v>56</v>
      </c>
    </row>
    <row r="19" spans="1:25" ht="24.95" customHeight="1">
      <c r="B19" s="177"/>
      <c r="C19" s="177" t="s">
        <v>58</v>
      </c>
      <c r="D19" s="177"/>
      <c r="E19" s="138"/>
      <c r="F19" s="208"/>
      <c r="G19" s="209"/>
      <c r="H19" s="107"/>
      <c r="J19" s="17" t="s">
        <v>66</v>
      </c>
      <c r="K19" s="77">
        <f>J5</f>
        <v>5</v>
      </c>
      <c r="L19" s="4"/>
    </row>
    <row r="20" spans="1:25" ht="24.95" customHeight="1">
      <c r="B20" s="177" t="s">
        <v>59</v>
      </c>
      <c r="C20" s="111" t="s">
        <v>60</v>
      </c>
      <c r="D20" s="111"/>
      <c r="E20" s="138" t="s">
        <v>53</v>
      </c>
      <c r="F20" s="210">
        <f>1000*C3/F18</f>
        <v>447.48343887130835</v>
      </c>
      <c r="G20" s="211"/>
      <c r="H20" s="111" t="s">
        <v>61</v>
      </c>
      <c r="J20" s="17" t="s">
        <v>73</v>
      </c>
      <c r="K20" s="77">
        <f>HLOOKUP($K$19,D11:L13,2,0)</f>
        <v>22</v>
      </c>
    </row>
    <row r="21" spans="1:25" ht="24.95" customHeight="1">
      <c r="B21" s="177"/>
      <c r="C21" s="177" t="s">
        <v>62</v>
      </c>
      <c r="D21" s="177"/>
      <c r="E21" s="138"/>
      <c r="F21" s="210"/>
      <c r="G21" s="211"/>
      <c r="H21" s="138"/>
    </row>
    <row r="22" spans="1:25" ht="24.95" customHeight="1">
      <c r="I22" s="2" t="s">
        <v>63</v>
      </c>
      <c r="J22" s="77">
        <f>K7</f>
        <v>186</v>
      </c>
      <c r="L22" s="6" t="s">
        <v>195</v>
      </c>
      <c r="M22" s="77">
        <v>2.75</v>
      </c>
      <c r="N22" s="6"/>
      <c r="O22" s="205"/>
      <c r="P22" s="205"/>
      <c r="Q22" s="6"/>
      <c r="R22" s="11"/>
      <c r="S22" s="13"/>
    </row>
    <row r="23" spans="1:25" ht="24.95" customHeight="1">
      <c r="B23" s="177" t="s">
        <v>64</v>
      </c>
      <c r="C23" s="111" t="s">
        <v>65</v>
      </c>
      <c r="D23" s="111"/>
      <c r="E23" s="138" t="s">
        <v>53</v>
      </c>
      <c r="F23" s="219">
        <f>F20*M22*M23*M24/(J23*J22)</f>
        <v>2.1502060402754402</v>
      </c>
      <c r="G23" s="220"/>
      <c r="H23" s="107" t="s">
        <v>57</v>
      </c>
      <c r="I23" s="6" t="s">
        <v>66</v>
      </c>
      <c r="J23" s="82">
        <f>K19</f>
        <v>5</v>
      </c>
      <c r="K23" s="4" t="s">
        <v>57</v>
      </c>
      <c r="L23" s="6" t="s">
        <v>196</v>
      </c>
      <c r="M23" s="77">
        <v>1.25</v>
      </c>
      <c r="N23" s="186"/>
      <c r="O23" s="186"/>
      <c r="P23" s="186"/>
      <c r="Q23" s="57"/>
      <c r="R23" s="57"/>
      <c r="S23" s="57"/>
      <c r="T23" s="57"/>
      <c r="U23" s="57"/>
      <c r="V23" s="57"/>
      <c r="W23" s="57"/>
      <c r="X23" s="57"/>
      <c r="Y23" s="56"/>
    </row>
    <row r="24" spans="1:25" ht="24.95" customHeight="1">
      <c r="B24" s="138"/>
      <c r="C24" s="111" t="s">
        <v>74</v>
      </c>
      <c r="D24" s="138"/>
      <c r="E24" s="138"/>
      <c r="F24" s="221"/>
      <c r="G24" s="222"/>
      <c r="H24" s="107"/>
      <c r="I24" s="234"/>
      <c r="J24" s="20"/>
      <c r="L24" s="6" t="s">
        <v>197</v>
      </c>
      <c r="M24" s="77">
        <v>1.3</v>
      </c>
    </row>
    <row r="25" spans="1:25" ht="24.95" customHeight="1">
      <c r="A25" s="2" t="s">
        <v>274</v>
      </c>
      <c r="I25" s="234"/>
      <c r="J25" s="9"/>
      <c r="K25" s="3"/>
      <c r="L25" s="29"/>
    </row>
    <row r="26" spans="1:25" ht="24.95" customHeight="1">
      <c r="I26" s="21"/>
      <c r="J26" s="22"/>
    </row>
    <row r="27" spans="1:25" ht="24.95" customHeight="1">
      <c r="B27" s="177" t="s">
        <v>75</v>
      </c>
      <c r="C27" s="111" t="s">
        <v>76</v>
      </c>
      <c r="D27" s="111"/>
      <c r="E27" s="107" t="s">
        <v>77</v>
      </c>
      <c r="F27" s="138"/>
      <c r="G27" s="111" t="s">
        <v>78</v>
      </c>
      <c r="H27" s="111"/>
      <c r="I27" s="111"/>
      <c r="J27" s="22"/>
    </row>
    <row r="28" spans="1:25" ht="24.95" customHeight="1">
      <c r="B28" s="138"/>
      <c r="C28" s="111" t="s">
        <v>79</v>
      </c>
      <c r="D28" s="138"/>
      <c r="E28" s="111" t="s">
        <v>80</v>
      </c>
      <c r="F28" s="138"/>
      <c r="G28" s="111" t="s">
        <v>81</v>
      </c>
      <c r="H28" s="111"/>
      <c r="I28" s="111"/>
    </row>
    <row r="29" spans="1:25" ht="24.95" customHeight="1">
      <c r="B29" s="177" t="s">
        <v>82</v>
      </c>
      <c r="C29" s="230">
        <f>(M32*F20*J32)/(K19*M30)*(J30+1)/J30*(M29*J31)^2/(J29)^2</f>
        <v>8.3715571800558148</v>
      </c>
      <c r="D29" s="231"/>
      <c r="E29" s="107" t="s">
        <v>83</v>
      </c>
      <c r="I29" s="2" t="s">
        <v>84</v>
      </c>
      <c r="J29" s="77">
        <f>M7</f>
        <v>480</v>
      </c>
      <c r="L29" s="6" t="s">
        <v>85</v>
      </c>
      <c r="M29" s="79">
        <v>2.4900000000000002</v>
      </c>
    </row>
    <row r="30" spans="1:25" ht="24.95" customHeight="1" thickBot="1">
      <c r="B30" s="138"/>
      <c r="C30" s="232"/>
      <c r="D30" s="233"/>
      <c r="E30" s="107"/>
      <c r="I30" s="18" t="s">
        <v>88</v>
      </c>
      <c r="J30" s="82">
        <f>J4</f>
        <v>4.83</v>
      </c>
      <c r="L30" s="6" t="s">
        <v>89</v>
      </c>
      <c r="M30" s="82">
        <f>HLOOKUP(K19,D11:L13,2,0)</f>
        <v>22</v>
      </c>
    </row>
    <row r="31" spans="1:25" ht="24.95" customHeight="1" thickTop="1">
      <c r="B31" s="234" t="s">
        <v>86</v>
      </c>
      <c r="C31" s="20" t="s">
        <v>48</v>
      </c>
      <c r="D31" s="138" t="s">
        <v>1</v>
      </c>
      <c r="E31" s="107">
        <f>C29/K19</f>
        <v>1.6743114360111631</v>
      </c>
      <c r="F31" s="223" t="s">
        <v>194</v>
      </c>
      <c r="G31" s="224"/>
      <c r="H31" s="225"/>
      <c r="I31" s="18" t="s">
        <v>87</v>
      </c>
      <c r="J31" s="77">
        <v>190</v>
      </c>
      <c r="L31" s="6" t="s">
        <v>44</v>
      </c>
      <c r="M31" s="83">
        <f>ROUNDUP(M30*J30,0)</f>
        <v>107</v>
      </c>
    </row>
    <row r="32" spans="1:25" ht="24.95" customHeight="1" thickBot="1">
      <c r="B32" s="234"/>
      <c r="C32" s="9" t="s">
        <v>91</v>
      </c>
      <c r="D32" s="138"/>
      <c r="E32" s="107"/>
      <c r="F32" s="226"/>
      <c r="G32" s="227"/>
      <c r="H32" s="228"/>
      <c r="I32" s="6" t="s">
        <v>67</v>
      </c>
      <c r="J32" s="77">
        <v>1.3</v>
      </c>
      <c r="L32" s="6" t="s">
        <v>92</v>
      </c>
      <c r="M32" s="77">
        <v>1.35</v>
      </c>
    </row>
    <row r="33" spans="1:14" ht="24.95" customHeight="1" thickTop="1">
      <c r="B33" s="18"/>
      <c r="C33" s="11"/>
      <c r="D33" s="18"/>
      <c r="E33" s="18"/>
      <c r="F33" s="11"/>
      <c r="G33" s="177"/>
      <c r="H33" s="177"/>
      <c r="I33" s="177"/>
      <c r="J33" s="177"/>
    </row>
    <row r="34" spans="1:14" ht="24.95" customHeight="1">
      <c r="A34" s="2" t="s">
        <v>275</v>
      </c>
      <c r="J34"/>
    </row>
    <row r="35" spans="1:14" ht="24.95" customHeight="1">
      <c r="A35" s="203" t="s">
        <v>46</v>
      </c>
      <c r="B35" s="204"/>
      <c r="C35" s="64">
        <f>C3</f>
        <v>1.5</v>
      </c>
      <c r="D35" s="4" t="s">
        <v>27</v>
      </c>
      <c r="E35" s="213" t="s">
        <v>201</v>
      </c>
      <c r="F35" s="214"/>
      <c r="G35" s="214"/>
      <c r="H35" s="214"/>
      <c r="I35" s="215"/>
      <c r="J35" s="81">
        <f>K19*M31</f>
        <v>535</v>
      </c>
      <c r="K35" s="4" t="s">
        <v>90</v>
      </c>
      <c r="L35" s="245"/>
      <c r="M35" s="246"/>
      <c r="N35" s="30"/>
    </row>
    <row r="36" spans="1:14" ht="24.95" customHeight="1">
      <c r="A36" s="203" t="s">
        <v>192</v>
      </c>
      <c r="B36" s="204"/>
      <c r="C36" s="78">
        <f>C5</f>
        <v>121</v>
      </c>
      <c r="D36" s="4" t="s">
        <v>49</v>
      </c>
      <c r="E36" s="193"/>
      <c r="F36" s="193"/>
      <c r="G36" s="193"/>
      <c r="H36" s="193"/>
      <c r="I36" s="193"/>
      <c r="J36" s="55"/>
    </row>
    <row r="37" spans="1:14" ht="24.95" customHeight="1">
      <c r="B37" s="54" t="s">
        <v>193</v>
      </c>
      <c r="C37" s="54"/>
      <c r="D37" s="54"/>
      <c r="J37"/>
    </row>
    <row r="38" spans="1:14" ht="15" customHeight="1">
      <c r="B38" s="114" t="s">
        <v>95</v>
      </c>
      <c r="C38" s="114"/>
      <c r="D38" s="23">
        <v>14</v>
      </c>
      <c r="E38" s="23">
        <v>15</v>
      </c>
      <c r="F38" s="23">
        <v>16</v>
      </c>
      <c r="G38" s="23">
        <v>17</v>
      </c>
      <c r="H38" s="23">
        <v>18</v>
      </c>
      <c r="I38" s="23">
        <v>19</v>
      </c>
      <c r="J38" s="23">
        <v>20</v>
      </c>
      <c r="K38" s="23">
        <v>22</v>
      </c>
      <c r="L38" s="23">
        <v>25</v>
      </c>
      <c r="M38" s="23" t="s">
        <v>97</v>
      </c>
    </row>
    <row r="39" spans="1:14" ht="15" customHeight="1">
      <c r="B39" s="114" t="s">
        <v>96</v>
      </c>
      <c r="C39" s="114"/>
      <c r="D39" s="31">
        <v>3.2</v>
      </c>
      <c r="E39" s="31">
        <v>3.11</v>
      </c>
      <c r="F39" s="31">
        <v>3.03</v>
      </c>
      <c r="G39" s="31">
        <v>2.95</v>
      </c>
      <c r="H39" s="31">
        <v>2.89</v>
      </c>
      <c r="I39" s="31">
        <v>2.84</v>
      </c>
      <c r="J39" s="31">
        <v>2.8</v>
      </c>
      <c r="K39" s="31">
        <v>2.73</v>
      </c>
      <c r="L39" s="31">
        <v>2.63</v>
      </c>
      <c r="M39" s="23"/>
    </row>
    <row r="40" spans="1:14" ht="15" customHeight="1">
      <c r="B40" s="114" t="s">
        <v>95</v>
      </c>
      <c r="C40" s="114"/>
      <c r="D40" s="23">
        <v>28</v>
      </c>
      <c r="E40" s="23">
        <v>30</v>
      </c>
      <c r="F40" s="23">
        <v>35</v>
      </c>
      <c r="G40" s="23">
        <v>40</v>
      </c>
      <c r="H40" s="23">
        <v>50</v>
      </c>
      <c r="I40" s="23">
        <v>60</v>
      </c>
      <c r="J40" s="23">
        <v>80</v>
      </c>
      <c r="K40" s="23">
        <v>100</v>
      </c>
      <c r="L40" s="23">
        <v>120</v>
      </c>
      <c r="M40" s="23" t="s">
        <v>97</v>
      </c>
    </row>
    <row r="41" spans="1:14" ht="15" customHeight="1">
      <c r="B41" s="114" t="s">
        <v>96</v>
      </c>
      <c r="C41" s="114"/>
      <c r="D41" s="31">
        <v>2.56</v>
      </c>
      <c r="E41" s="31">
        <v>2.52</v>
      </c>
      <c r="F41" s="31">
        <v>2.44</v>
      </c>
      <c r="G41" s="31">
        <v>2.39</v>
      </c>
      <c r="H41" s="31">
        <v>2.3199999999999998</v>
      </c>
      <c r="I41" s="31">
        <v>2.2799999999999998</v>
      </c>
      <c r="J41" s="31">
        <v>2.2200000000000002</v>
      </c>
      <c r="K41" s="31">
        <v>2.1800000000000002</v>
      </c>
      <c r="L41" s="31">
        <v>2.12</v>
      </c>
      <c r="M41" s="23"/>
    </row>
    <row r="42" spans="1:14" ht="15" customHeight="1" thickBot="1">
      <c r="B42" t="s">
        <v>198</v>
      </c>
      <c r="J42"/>
    </row>
    <row r="43" spans="1:14" ht="15" customHeight="1">
      <c r="B43" s="239" t="s">
        <v>98</v>
      </c>
      <c r="C43" s="240"/>
      <c r="D43" s="240"/>
      <c r="E43" s="240"/>
      <c r="F43" s="240" t="s">
        <v>107</v>
      </c>
      <c r="G43" s="240"/>
      <c r="H43" s="240"/>
      <c r="I43" s="240"/>
      <c r="J43" s="240"/>
      <c r="K43" s="240"/>
      <c r="L43" s="240"/>
      <c r="M43" s="241"/>
    </row>
    <row r="44" spans="1:14" ht="15" customHeight="1" thickBot="1">
      <c r="B44" s="237" t="s">
        <v>99</v>
      </c>
      <c r="C44" s="238"/>
      <c r="D44" s="238" t="s">
        <v>100</v>
      </c>
      <c r="E44" s="238"/>
      <c r="F44" s="238" t="s">
        <v>101</v>
      </c>
      <c r="G44" s="238"/>
      <c r="H44" s="238" t="s">
        <v>102</v>
      </c>
      <c r="I44" s="238"/>
      <c r="J44" s="238" t="s">
        <v>103</v>
      </c>
      <c r="K44" s="238"/>
      <c r="L44" s="238" t="s">
        <v>104</v>
      </c>
      <c r="M44" s="244"/>
    </row>
    <row r="45" spans="1:14" ht="15" customHeight="1" thickTop="1">
      <c r="B45" s="235" t="s">
        <v>105</v>
      </c>
      <c r="C45" s="236"/>
      <c r="D45" s="236">
        <v>1</v>
      </c>
      <c r="E45" s="236"/>
      <c r="F45" s="242" t="s">
        <v>106</v>
      </c>
      <c r="G45" s="242"/>
      <c r="H45" s="242">
        <v>1</v>
      </c>
      <c r="I45" s="242"/>
      <c r="J45" s="242">
        <v>1</v>
      </c>
      <c r="K45" s="242"/>
      <c r="L45" s="242">
        <v>1.1000000000000001</v>
      </c>
      <c r="M45" s="243"/>
    </row>
    <row r="46" spans="1:14" ht="15" customHeight="1">
      <c r="B46" s="191">
        <v>1</v>
      </c>
      <c r="C46" s="192"/>
      <c r="D46" s="192">
        <v>2</v>
      </c>
      <c r="E46" s="192"/>
      <c r="F46" s="194">
        <v>1</v>
      </c>
      <c r="G46" s="194"/>
      <c r="H46" s="197">
        <v>1.05</v>
      </c>
      <c r="I46" s="197"/>
      <c r="J46" s="194">
        <v>1.1000000000000001</v>
      </c>
      <c r="K46" s="194"/>
      <c r="L46" s="194">
        <v>1.2</v>
      </c>
      <c r="M46" s="249"/>
    </row>
    <row r="47" spans="1:14" ht="15" customHeight="1">
      <c r="B47" s="191">
        <v>2</v>
      </c>
      <c r="C47" s="192"/>
      <c r="D47" s="192">
        <v>3</v>
      </c>
      <c r="E47" s="192"/>
      <c r="F47" s="194">
        <v>1.1000000000000001</v>
      </c>
      <c r="G47" s="194"/>
      <c r="H47" s="197">
        <v>1.1499999999999999</v>
      </c>
      <c r="I47" s="197"/>
      <c r="J47" s="194">
        <v>1.2</v>
      </c>
      <c r="K47" s="194"/>
      <c r="L47" s="194">
        <v>1.3</v>
      </c>
      <c r="M47" s="249"/>
    </row>
    <row r="48" spans="1:14" ht="15" customHeight="1">
      <c r="B48" s="191">
        <v>3</v>
      </c>
      <c r="C48" s="192"/>
      <c r="D48" s="192">
        <v>4</v>
      </c>
      <c r="E48" s="192"/>
      <c r="F48" s="194">
        <v>1.2</v>
      </c>
      <c r="G48" s="194"/>
      <c r="H48" s="194">
        <v>1.3</v>
      </c>
      <c r="I48" s="194"/>
      <c r="J48" s="194">
        <v>1.4</v>
      </c>
      <c r="K48" s="194"/>
      <c r="L48" s="194">
        <v>1.5</v>
      </c>
      <c r="M48" s="249"/>
    </row>
    <row r="49" spans="1:13" ht="15" customHeight="1">
      <c r="B49" s="191">
        <v>4</v>
      </c>
      <c r="C49" s="192"/>
      <c r="D49" s="192" t="s">
        <v>105</v>
      </c>
      <c r="E49" s="192"/>
      <c r="F49" s="194">
        <v>1.3</v>
      </c>
      <c r="G49" s="194"/>
      <c r="H49" s="194">
        <v>1.4</v>
      </c>
      <c r="I49" s="194"/>
      <c r="J49" s="194">
        <v>1.5</v>
      </c>
      <c r="K49" s="194"/>
      <c r="L49" s="194" t="s">
        <v>106</v>
      </c>
      <c r="M49" s="249"/>
    </row>
    <row r="50" spans="1:13" ht="15" customHeight="1" thickBot="1">
      <c r="B50" s="250">
        <v>5</v>
      </c>
      <c r="C50" s="247"/>
      <c r="D50" s="247" t="s">
        <v>105</v>
      </c>
      <c r="E50" s="247"/>
      <c r="F50" s="198">
        <v>1.4</v>
      </c>
      <c r="G50" s="198"/>
      <c r="H50" s="198">
        <v>1.5</v>
      </c>
      <c r="I50" s="198"/>
      <c r="J50" s="198" t="s">
        <v>106</v>
      </c>
      <c r="K50" s="198"/>
      <c r="L50" s="198" t="s">
        <v>106</v>
      </c>
      <c r="M50" s="248"/>
    </row>
    <row r="51" spans="1:13" ht="24.95" customHeight="1">
      <c r="A51" s="53" t="s">
        <v>278</v>
      </c>
      <c r="B51" s="52"/>
      <c r="C51" s="19"/>
    </row>
    <row r="52" spans="1:13" ht="24.95" customHeight="1">
      <c r="A52" s="2" t="s">
        <v>279</v>
      </c>
    </row>
    <row r="53" spans="1:13" ht="24.95" customHeight="1">
      <c r="B53" s="177" t="s">
        <v>51</v>
      </c>
      <c r="C53" s="111" t="s">
        <v>204</v>
      </c>
      <c r="D53" s="111"/>
      <c r="E53" s="138" t="s">
        <v>53</v>
      </c>
      <c r="F53" s="199">
        <f>PI()*(K53*K54*K55)/(1000*60)</f>
        <v>3.3895166738355877</v>
      </c>
      <c r="G53" s="200"/>
      <c r="H53" s="107" t="s">
        <v>54</v>
      </c>
      <c r="I53" s="6"/>
      <c r="J53" s="17" t="s">
        <v>203</v>
      </c>
      <c r="K53" s="97">
        <f>C36</f>
        <v>121</v>
      </c>
      <c r="L53" s="4" t="s">
        <v>56</v>
      </c>
    </row>
    <row r="54" spans="1:13" ht="24.95" customHeight="1">
      <c r="B54" s="177"/>
      <c r="C54" s="177" t="s">
        <v>58</v>
      </c>
      <c r="D54" s="177"/>
      <c r="E54" s="138"/>
      <c r="F54" s="199"/>
      <c r="G54" s="200"/>
      <c r="H54" s="107"/>
      <c r="J54" s="17" t="s">
        <v>66</v>
      </c>
      <c r="K54" s="98">
        <f>J23</f>
        <v>5</v>
      </c>
      <c r="L54" s="4"/>
    </row>
    <row r="55" spans="1:13" ht="24.95" customHeight="1">
      <c r="B55" s="177" t="s">
        <v>59</v>
      </c>
      <c r="C55" s="111" t="s">
        <v>60</v>
      </c>
      <c r="D55" s="111"/>
      <c r="E55" s="138" t="s">
        <v>53</v>
      </c>
      <c r="F55" s="210">
        <f>1000*C35/F53</f>
        <v>442.54097098233041</v>
      </c>
      <c r="G55" s="211"/>
      <c r="H55" s="111" t="s">
        <v>61</v>
      </c>
      <c r="J55" s="17" t="s">
        <v>202</v>
      </c>
      <c r="K55" s="98">
        <f>M31</f>
        <v>107</v>
      </c>
    </row>
    <row r="56" spans="1:13" ht="24.95" customHeight="1">
      <c r="B56" s="177"/>
      <c r="C56" s="177" t="s">
        <v>62</v>
      </c>
      <c r="D56" s="177"/>
      <c r="E56" s="138"/>
      <c r="F56" s="210"/>
      <c r="G56" s="211"/>
      <c r="H56" s="138"/>
    </row>
    <row r="57" spans="1:13" ht="24.95" customHeight="1">
      <c r="I57" s="2" t="s">
        <v>63</v>
      </c>
      <c r="J57" s="64">
        <f>K8</f>
        <v>97.5</v>
      </c>
      <c r="L57" s="6" t="s">
        <v>195</v>
      </c>
      <c r="M57" s="77">
        <v>2.15</v>
      </c>
    </row>
    <row r="58" spans="1:13" ht="24.95" customHeight="1">
      <c r="B58" s="177" t="s">
        <v>64</v>
      </c>
      <c r="C58" s="111" t="s">
        <v>65</v>
      </c>
      <c r="D58" s="111"/>
      <c r="E58" s="138" t="s">
        <v>53</v>
      </c>
      <c r="F58" s="219">
        <f>F55*M57*M58*M59/(J58*J57)</f>
        <v>3.171543625373368</v>
      </c>
      <c r="G58" s="220"/>
      <c r="H58" s="107" t="s">
        <v>57</v>
      </c>
      <c r="I58" s="6" t="s">
        <v>66</v>
      </c>
      <c r="J58" s="81">
        <f>K54</f>
        <v>5</v>
      </c>
      <c r="K58" s="4" t="s">
        <v>57</v>
      </c>
      <c r="L58" s="6" t="s">
        <v>196</v>
      </c>
      <c r="M58" s="77">
        <v>1.25</v>
      </c>
    </row>
    <row r="59" spans="1:13" ht="24.95" customHeight="1">
      <c r="B59" s="138"/>
      <c r="C59" s="111" t="s">
        <v>74</v>
      </c>
      <c r="D59" s="111"/>
      <c r="E59" s="138"/>
      <c r="F59" s="221"/>
      <c r="G59" s="222"/>
      <c r="H59" s="107"/>
      <c r="I59" s="234"/>
      <c r="J59" s="20"/>
      <c r="L59" s="6" t="s">
        <v>197</v>
      </c>
      <c r="M59" s="77">
        <v>1.3</v>
      </c>
    </row>
    <row r="60" spans="1:13" ht="24.95" customHeight="1">
      <c r="A60" s="2" t="s">
        <v>280</v>
      </c>
      <c r="I60" s="234"/>
      <c r="J60" s="9"/>
      <c r="K60" s="3"/>
      <c r="L60" s="29"/>
    </row>
    <row r="61" spans="1:13" ht="24.95" customHeight="1">
      <c r="I61" s="21"/>
      <c r="J61" s="22"/>
    </row>
    <row r="62" spans="1:13" ht="24.95" customHeight="1">
      <c r="B62" s="177" t="s">
        <v>75</v>
      </c>
      <c r="C62" s="111" t="s">
        <v>76</v>
      </c>
      <c r="D62" s="111"/>
      <c r="E62" s="107" t="s">
        <v>77</v>
      </c>
      <c r="F62" s="107"/>
      <c r="G62" s="111" t="s">
        <v>78</v>
      </c>
      <c r="H62" s="111"/>
      <c r="I62" s="111"/>
      <c r="J62" s="22"/>
    </row>
    <row r="63" spans="1:13" ht="24.95" customHeight="1">
      <c r="B63" s="138"/>
      <c r="C63" s="111" t="s">
        <v>79</v>
      </c>
      <c r="D63" s="111"/>
      <c r="E63" s="111" t="s">
        <v>80</v>
      </c>
      <c r="F63" s="111"/>
      <c r="G63" s="111" t="s">
        <v>81</v>
      </c>
      <c r="H63" s="111"/>
      <c r="I63" s="111"/>
    </row>
    <row r="64" spans="1:13" ht="24.95" customHeight="1">
      <c r="B64" s="177" t="s">
        <v>82</v>
      </c>
      <c r="C64" s="255">
        <f>(M67*F55*M68)/(K54*M65)*(J65+1)/J65*(M64*J66)^2/(J64)^2</f>
        <v>14.150781537343654</v>
      </c>
      <c r="D64" s="256"/>
      <c r="E64" s="107" t="s">
        <v>83</v>
      </c>
      <c r="I64" s="2" t="s">
        <v>84</v>
      </c>
      <c r="J64" s="77">
        <f>M8</f>
        <v>365</v>
      </c>
      <c r="L64" s="6" t="s">
        <v>85</v>
      </c>
      <c r="M64" s="79">
        <v>2.4900000000000002</v>
      </c>
    </row>
    <row r="65" spans="1:13" ht="24.95" customHeight="1" thickBot="1">
      <c r="B65" s="138"/>
      <c r="C65" s="257"/>
      <c r="D65" s="258"/>
      <c r="E65" s="107"/>
      <c r="I65" s="18" t="s">
        <v>88</v>
      </c>
      <c r="J65" s="82">
        <f>M66/M65</f>
        <v>4.8636363636363633</v>
      </c>
      <c r="L65" s="6" t="s">
        <v>89</v>
      </c>
      <c r="M65" s="82">
        <f>M30</f>
        <v>22</v>
      </c>
    </row>
    <row r="66" spans="1:13" ht="24.95" customHeight="1" thickTop="1">
      <c r="B66" s="234" t="s">
        <v>86</v>
      </c>
      <c r="C66" s="20" t="s">
        <v>48</v>
      </c>
      <c r="D66" s="138" t="s">
        <v>1</v>
      </c>
      <c r="E66" s="111">
        <f>C64/K54</f>
        <v>2.830156307468731</v>
      </c>
      <c r="F66" s="223" t="s">
        <v>194</v>
      </c>
      <c r="G66" s="224"/>
      <c r="H66" s="225"/>
      <c r="I66" s="18" t="s">
        <v>87</v>
      </c>
      <c r="J66" s="77">
        <v>189</v>
      </c>
      <c r="L66" s="6" t="s">
        <v>44</v>
      </c>
      <c r="M66" s="82">
        <f>M31</f>
        <v>107</v>
      </c>
    </row>
    <row r="67" spans="1:13" ht="24.95" customHeight="1" thickBot="1">
      <c r="B67" s="234"/>
      <c r="C67" s="9" t="s">
        <v>91</v>
      </c>
      <c r="D67" s="138"/>
      <c r="E67" s="111"/>
      <c r="F67" s="226"/>
      <c r="G67" s="227"/>
      <c r="H67" s="228"/>
      <c r="I67" s="6"/>
      <c r="J67" s="19"/>
      <c r="K67" s="4"/>
      <c r="L67" s="6" t="s">
        <v>92</v>
      </c>
      <c r="M67" s="77">
        <v>1.35</v>
      </c>
    </row>
    <row r="68" spans="1:13" ht="24.95" customHeight="1" thickTop="1">
      <c r="D68" s="3"/>
      <c r="E68" s="11"/>
      <c r="F68" s="58"/>
      <c r="G68" s="58"/>
      <c r="H68" s="58"/>
      <c r="I68" s="6"/>
      <c r="J68" s="19"/>
      <c r="K68" s="4"/>
      <c r="L68" s="6" t="s">
        <v>67</v>
      </c>
      <c r="M68" s="77">
        <v>1.3</v>
      </c>
    </row>
    <row r="69" spans="1:13" ht="24.95" customHeight="1">
      <c r="D69" s="3"/>
      <c r="E69" s="11"/>
      <c r="F69" s="58"/>
      <c r="G69" s="58"/>
      <c r="H69" s="58"/>
      <c r="I69" s="6"/>
      <c r="J69" s="19"/>
      <c r="K69" s="4"/>
      <c r="L69" s="6"/>
      <c r="M69" s="91"/>
    </row>
    <row r="70" spans="1:13" ht="24.95" customHeight="1">
      <c r="A70" s="2" t="s">
        <v>314</v>
      </c>
      <c r="D70" s="3"/>
      <c r="E70" s="11"/>
      <c r="F70" s="58"/>
      <c r="G70" s="58"/>
      <c r="H70" s="58"/>
      <c r="I70" s="6"/>
      <c r="J70" s="19"/>
      <c r="K70" s="4"/>
      <c r="L70" s="6"/>
      <c r="M70" s="91"/>
    </row>
    <row r="71" spans="1:13" ht="24.95" customHeight="1">
      <c r="A71" s="4" t="s">
        <v>282</v>
      </c>
      <c r="D71" s="3"/>
      <c r="E71" s="11"/>
      <c r="F71" s="58"/>
      <c r="G71" s="58"/>
      <c r="H71" s="58"/>
      <c r="I71" s="6"/>
      <c r="J71" s="19"/>
      <c r="K71" s="4"/>
      <c r="L71" s="6"/>
      <c r="M71" s="91"/>
    </row>
    <row r="72" spans="1:13" ht="24.95" customHeight="1">
      <c r="A72" s="4" t="s">
        <v>316</v>
      </c>
      <c r="B72" s="63" t="s">
        <v>285</v>
      </c>
      <c r="C72" s="13"/>
      <c r="D72" s="2" t="s">
        <v>2</v>
      </c>
      <c r="E72" s="9">
        <v>32</v>
      </c>
      <c r="F72" s="2" t="s">
        <v>286</v>
      </c>
    </row>
    <row r="73" spans="1:13" ht="24.95" customHeight="1">
      <c r="A73" s="61" t="s">
        <v>315</v>
      </c>
      <c r="B73" s="18" t="s">
        <v>287</v>
      </c>
      <c r="C73" s="11" t="s">
        <v>289</v>
      </c>
      <c r="E73" s="18" t="s">
        <v>288</v>
      </c>
      <c r="F73" s="11" t="s">
        <v>290</v>
      </c>
    </row>
    <row r="74" spans="1:13" ht="24.95" customHeight="1">
      <c r="B74" s="4" t="s">
        <v>317</v>
      </c>
    </row>
    <row r="75" spans="1:13" ht="24.95" customHeight="1">
      <c r="D75" s="2"/>
      <c r="E75" s="11"/>
      <c r="F75" s="2"/>
    </row>
    <row r="76" spans="1:13" ht="24.95" customHeight="1" thickBot="1">
      <c r="A76" s="2" t="s">
        <v>222</v>
      </c>
    </row>
    <row r="77" spans="1:13" ht="24.95" customHeight="1">
      <c r="A77" s="259" t="s">
        <v>205</v>
      </c>
      <c r="B77" s="260"/>
      <c r="C77" s="262" t="s">
        <v>213</v>
      </c>
      <c r="D77" s="263"/>
      <c r="E77" s="263"/>
      <c r="F77" s="263"/>
      <c r="G77" s="263"/>
      <c r="H77" s="260"/>
    </row>
    <row r="78" spans="1:13" ht="24.95" customHeight="1">
      <c r="A78" s="201" t="s">
        <v>206</v>
      </c>
      <c r="B78" s="202"/>
      <c r="C78" s="116" t="s">
        <v>214</v>
      </c>
      <c r="D78" s="114"/>
      <c r="E78" s="114"/>
      <c r="F78" s="114" t="s">
        <v>215</v>
      </c>
      <c r="G78" s="114"/>
      <c r="H78" s="195"/>
    </row>
    <row r="79" spans="1:13" ht="24.95" customHeight="1">
      <c r="A79" s="196" t="s">
        <v>217</v>
      </c>
      <c r="B79" s="195"/>
      <c r="C79" s="116">
        <v>4</v>
      </c>
      <c r="D79" s="114"/>
      <c r="E79" s="114"/>
      <c r="F79" s="114"/>
      <c r="G79" s="114"/>
      <c r="H79" s="195"/>
    </row>
    <row r="80" spans="1:13" ht="24.95" customHeight="1">
      <c r="A80" s="196" t="s">
        <v>207</v>
      </c>
      <c r="B80" s="195"/>
      <c r="C80" s="116" t="s">
        <v>218</v>
      </c>
      <c r="D80" s="114"/>
      <c r="E80" s="114"/>
      <c r="F80" s="114"/>
      <c r="G80" s="114"/>
      <c r="H80" s="195"/>
    </row>
    <row r="81" spans="1:8" ht="24.95" customHeight="1">
      <c r="A81" s="201" t="s">
        <v>216</v>
      </c>
      <c r="B81" s="202"/>
      <c r="C81" s="117">
        <v>20</v>
      </c>
      <c r="D81" s="117"/>
      <c r="E81" s="116"/>
      <c r="F81" s="115">
        <v>97</v>
      </c>
      <c r="G81" s="117"/>
      <c r="H81" s="202"/>
    </row>
    <row r="82" spans="1:8" ht="24.95" customHeight="1">
      <c r="A82" s="196" t="s">
        <v>208</v>
      </c>
      <c r="B82" s="195"/>
      <c r="C82" s="116">
        <f>C79*C81</f>
        <v>80</v>
      </c>
      <c r="D82" s="114"/>
      <c r="E82" s="114"/>
      <c r="F82" s="114">
        <f>C79*F81</f>
        <v>388</v>
      </c>
      <c r="G82" s="114"/>
      <c r="H82" s="195"/>
    </row>
    <row r="83" spans="1:8" ht="24.95" customHeight="1">
      <c r="A83" s="196" t="s">
        <v>209</v>
      </c>
      <c r="B83" s="115"/>
      <c r="C83" s="201">
        <v>32</v>
      </c>
      <c r="D83" s="117"/>
      <c r="E83" s="117"/>
      <c r="F83" s="117"/>
      <c r="G83" s="117"/>
      <c r="H83" s="202"/>
    </row>
    <row r="84" spans="1:8" ht="24.95" customHeight="1">
      <c r="A84" s="196" t="s">
        <v>210</v>
      </c>
      <c r="B84" s="195"/>
      <c r="C84" s="116">
        <f>(C82+F82)/2</f>
        <v>234</v>
      </c>
      <c r="D84" s="114"/>
      <c r="E84" s="114"/>
      <c r="F84" s="114"/>
      <c r="G84" s="114"/>
      <c r="H84" s="195"/>
    </row>
    <row r="85" spans="1:8" ht="24.95" customHeight="1">
      <c r="A85" s="196" t="s">
        <v>211</v>
      </c>
      <c r="B85" s="195"/>
      <c r="C85" s="116" t="s">
        <v>219</v>
      </c>
      <c r="D85" s="114"/>
      <c r="E85" s="114"/>
      <c r="F85" s="114" t="s">
        <v>220</v>
      </c>
      <c r="G85" s="114"/>
      <c r="H85" s="195"/>
    </row>
    <row r="86" spans="1:8" ht="24.95" customHeight="1">
      <c r="A86" s="196" t="s">
        <v>212</v>
      </c>
      <c r="B86" s="195"/>
      <c r="C86" s="261">
        <f>C4</f>
        <v>582</v>
      </c>
      <c r="D86" s="114"/>
      <c r="E86" s="114"/>
      <c r="F86" s="165">
        <f>C86*C81/F81</f>
        <v>120</v>
      </c>
      <c r="G86" s="114"/>
      <c r="H86" s="195"/>
    </row>
    <row r="87" spans="1:8" ht="24.95" customHeight="1" thickBot="1">
      <c r="A87" s="251" t="s">
        <v>229</v>
      </c>
      <c r="B87" s="252"/>
      <c r="C87" s="253" t="s">
        <v>284</v>
      </c>
      <c r="D87" s="254"/>
      <c r="E87" s="254"/>
      <c r="F87" s="254" t="s">
        <v>284</v>
      </c>
      <c r="G87" s="254"/>
      <c r="H87" s="252"/>
    </row>
    <row r="88" spans="1:8" ht="24.95" customHeight="1"/>
    <row r="89" spans="1:8" ht="24.95" customHeight="1"/>
    <row r="90" spans="1:8" ht="24.95" customHeight="1"/>
    <row r="91" spans="1:8" ht="24.95" customHeight="1"/>
    <row r="92" spans="1:8" ht="24.95" customHeight="1"/>
    <row r="93" spans="1:8" ht="24.95" customHeight="1"/>
    <row r="94" spans="1:8" ht="24.95" customHeight="1"/>
    <row r="95" spans="1:8" ht="24.95" customHeight="1"/>
    <row r="96" spans="1:8" ht="24.95" customHeight="1"/>
    <row r="97" ht="24.95" customHeight="1"/>
    <row r="98" ht="24.95" customHeight="1"/>
  </sheetData>
  <mergeCells count="163">
    <mergeCell ref="C79:H79"/>
    <mergeCell ref="C86:E86"/>
    <mergeCell ref="F86:H86"/>
    <mergeCell ref="E63:F63"/>
    <mergeCell ref="G63:I63"/>
    <mergeCell ref="A80:B80"/>
    <mergeCell ref="F66:H67"/>
    <mergeCell ref="A86:B86"/>
    <mergeCell ref="C77:H77"/>
    <mergeCell ref="C78:E78"/>
    <mergeCell ref="F78:H78"/>
    <mergeCell ref="B58:B59"/>
    <mergeCell ref="A87:B87"/>
    <mergeCell ref="C87:E87"/>
    <mergeCell ref="F87:H87"/>
    <mergeCell ref="B64:B65"/>
    <mergeCell ref="C64:D65"/>
    <mergeCell ref="E64:E65"/>
    <mergeCell ref="E66:E67"/>
    <mergeCell ref="B66:B67"/>
    <mergeCell ref="D66:D67"/>
    <mergeCell ref="A77:B77"/>
    <mergeCell ref="A82:B82"/>
    <mergeCell ref="A83:B83"/>
    <mergeCell ref="C84:H84"/>
    <mergeCell ref="A81:B81"/>
    <mergeCell ref="C81:E81"/>
    <mergeCell ref="F81:H81"/>
    <mergeCell ref="C85:E85"/>
    <mergeCell ref="F85:H85"/>
    <mergeCell ref="A84:B84"/>
    <mergeCell ref="A85:B85"/>
    <mergeCell ref="C82:E82"/>
    <mergeCell ref="F82:H82"/>
    <mergeCell ref="C83:H83"/>
    <mergeCell ref="B47:C47"/>
    <mergeCell ref="I59:I60"/>
    <mergeCell ref="B62:B63"/>
    <mergeCell ref="C62:D62"/>
    <mergeCell ref="E62:F62"/>
    <mergeCell ref="G62:I62"/>
    <mergeCell ref="C63:D63"/>
    <mergeCell ref="E58:E59"/>
    <mergeCell ref="F58:G59"/>
    <mergeCell ref="C59:D59"/>
    <mergeCell ref="H55:H56"/>
    <mergeCell ref="C56:D56"/>
    <mergeCell ref="H53:H54"/>
    <mergeCell ref="B55:B56"/>
    <mergeCell ref="C55:D55"/>
    <mergeCell ref="E55:E56"/>
    <mergeCell ref="F55:G56"/>
    <mergeCell ref="E53:E54"/>
    <mergeCell ref="B53:B54"/>
    <mergeCell ref="H50:I50"/>
    <mergeCell ref="H49:I49"/>
    <mergeCell ref="D47:E47"/>
    <mergeCell ref="B48:C48"/>
    <mergeCell ref="B50:C50"/>
    <mergeCell ref="D50:E50"/>
    <mergeCell ref="D49:E49"/>
    <mergeCell ref="D48:E48"/>
    <mergeCell ref="J50:K50"/>
    <mergeCell ref="L50:M50"/>
    <mergeCell ref="L49:M49"/>
    <mergeCell ref="J49:K49"/>
    <mergeCell ref="L46:M46"/>
    <mergeCell ref="J46:K46"/>
    <mergeCell ref="J48:K48"/>
    <mergeCell ref="L47:M47"/>
    <mergeCell ref="L48:M48"/>
    <mergeCell ref="J47:K47"/>
    <mergeCell ref="F43:M43"/>
    <mergeCell ref="J45:K45"/>
    <mergeCell ref="B38:C38"/>
    <mergeCell ref="B40:C40"/>
    <mergeCell ref="A36:B36"/>
    <mergeCell ref="B39:C39"/>
    <mergeCell ref="D44:E44"/>
    <mergeCell ref="E31:E32"/>
    <mergeCell ref="E29:E30"/>
    <mergeCell ref="A35:B35"/>
    <mergeCell ref="E35:I35"/>
    <mergeCell ref="G33:J33"/>
    <mergeCell ref="L45:M45"/>
    <mergeCell ref="F44:G44"/>
    <mergeCell ref="J44:K44"/>
    <mergeCell ref="D45:E45"/>
    <mergeCell ref="F45:G45"/>
    <mergeCell ref="L44:M44"/>
    <mergeCell ref="H44:I44"/>
    <mergeCell ref="H45:I45"/>
    <mergeCell ref="L35:M35"/>
    <mergeCell ref="A3:B3"/>
    <mergeCell ref="A4:B4"/>
    <mergeCell ref="E3:I3"/>
    <mergeCell ref="E4:I4"/>
    <mergeCell ref="F23:G24"/>
    <mergeCell ref="F31:H32"/>
    <mergeCell ref="E23:E24"/>
    <mergeCell ref="C21:D21"/>
    <mergeCell ref="C20:D20"/>
    <mergeCell ref="E5:I5"/>
    <mergeCell ref="B29:B30"/>
    <mergeCell ref="C29:D30"/>
    <mergeCell ref="D31:D32"/>
    <mergeCell ref="B31:B32"/>
    <mergeCell ref="I24:I25"/>
    <mergeCell ref="E27:F27"/>
    <mergeCell ref="E28:F28"/>
    <mergeCell ref="G28:I28"/>
    <mergeCell ref="B27:B28"/>
    <mergeCell ref="C27:D27"/>
    <mergeCell ref="G27:I27"/>
    <mergeCell ref="C28:D28"/>
    <mergeCell ref="N23:P23"/>
    <mergeCell ref="H23:H24"/>
    <mergeCell ref="H20:H21"/>
    <mergeCell ref="E20:E21"/>
    <mergeCell ref="A5:B5"/>
    <mergeCell ref="E18:E19"/>
    <mergeCell ref="O22:P22"/>
    <mergeCell ref="H7:I7"/>
    <mergeCell ref="H8:I8"/>
    <mergeCell ref="D7:E7"/>
    <mergeCell ref="D8:E8"/>
    <mergeCell ref="H18:H19"/>
    <mergeCell ref="F18:G19"/>
    <mergeCell ref="F20:G21"/>
    <mergeCell ref="A11:C11"/>
    <mergeCell ref="A12:C12"/>
    <mergeCell ref="A13:C13"/>
    <mergeCell ref="C19:D19"/>
    <mergeCell ref="B18:B19"/>
    <mergeCell ref="C18:D18"/>
    <mergeCell ref="C24:D24"/>
    <mergeCell ref="B20:B21"/>
    <mergeCell ref="B23:B24"/>
    <mergeCell ref="C23:D23"/>
    <mergeCell ref="B46:C46"/>
    <mergeCell ref="D46:E46"/>
    <mergeCell ref="E36:I36"/>
    <mergeCell ref="F49:G49"/>
    <mergeCell ref="C58:D58"/>
    <mergeCell ref="C53:D53"/>
    <mergeCell ref="H58:H59"/>
    <mergeCell ref="C80:H80"/>
    <mergeCell ref="A79:B79"/>
    <mergeCell ref="B41:C41"/>
    <mergeCell ref="H46:I46"/>
    <mergeCell ref="H48:I48"/>
    <mergeCell ref="F47:G47"/>
    <mergeCell ref="H47:I47"/>
    <mergeCell ref="F46:G46"/>
    <mergeCell ref="F48:G48"/>
    <mergeCell ref="F50:G50"/>
    <mergeCell ref="F53:G54"/>
    <mergeCell ref="C54:D54"/>
    <mergeCell ref="B49:C49"/>
    <mergeCell ref="A78:B78"/>
    <mergeCell ref="B45:C45"/>
    <mergeCell ref="B44:C44"/>
    <mergeCell ref="B43:E43"/>
  </mergeCells>
  <phoneticPr fontId="2"/>
  <pageMargins left="0.70866141732283472" right="0" top="0.74803149606299213" bottom="0.74803149606299213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6"/>
  <sheetViews>
    <sheetView topLeftCell="A16" zoomScaleNormal="100" workbookViewId="0">
      <selection activeCell="E31" sqref="E31"/>
    </sheetView>
  </sheetViews>
  <sheetFormatPr defaultRowHeight="13.5"/>
  <cols>
    <col min="1" max="1" width="9" style="4"/>
    <col min="2" max="2" width="11" style="4" bestFit="1" customWidth="1"/>
    <col min="3" max="5" width="9" style="4"/>
    <col min="6" max="6" width="11.875" style="4" bestFit="1" customWidth="1"/>
    <col min="7" max="16384" width="9" style="4"/>
  </cols>
  <sheetData>
    <row r="1" spans="1:9" ht="20.100000000000001" customHeight="1">
      <c r="A1" s="106" t="s">
        <v>452</v>
      </c>
    </row>
    <row r="2" spans="1:9" ht="20.100000000000001" customHeight="1">
      <c r="A2" s="4" t="s">
        <v>453</v>
      </c>
    </row>
    <row r="3" spans="1:9" ht="20.100000000000001" customHeight="1">
      <c r="A3" s="4" t="s">
        <v>454</v>
      </c>
      <c r="C3" s="4" t="s">
        <v>455</v>
      </c>
    </row>
    <row r="4" spans="1:9" ht="20.100000000000001" customHeight="1">
      <c r="A4" s="4" t="s">
        <v>456</v>
      </c>
    </row>
    <row r="5" spans="1:9" ht="20.100000000000001" customHeight="1">
      <c r="A5" s="4" t="s">
        <v>457</v>
      </c>
      <c r="C5" s="4" t="s">
        <v>458</v>
      </c>
    </row>
    <row r="6" spans="1:9" ht="20.100000000000001" customHeight="1"/>
    <row r="7" spans="1:9" ht="20.100000000000001" customHeight="1">
      <c r="A7" s="106" t="s">
        <v>459</v>
      </c>
    </row>
    <row r="8" spans="1:9" ht="20.100000000000001" customHeight="1">
      <c r="A8" s="4" t="s">
        <v>347</v>
      </c>
      <c r="B8" s="103">
        <v>35</v>
      </c>
      <c r="C8" s="4" t="s">
        <v>0</v>
      </c>
      <c r="D8" s="11"/>
      <c r="E8" s="11"/>
    </row>
    <row r="9" spans="1:9" ht="20.100000000000001" customHeight="1">
      <c r="A9" s="4" t="s">
        <v>348</v>
      </c>
      <c r="B9" s="103">
        <v>50</v>
      </c>
      <c r="C9" s="4" t="s">
        <v>0</v>
      </c>
      <c r="D9" s="11"/>
      <c r="E9" s="11"/>
    </row>
    <row r="10" spans="1:9" ht="20.100000000000001" customHeight="1"/>
    <row r="11" spans="1:9" ht="20.100000000000001" customHeight="1">
      <c r="A11" s="106" t="s">
        <v>460</v>
      </c>
    </row>
    <row r="12" spans="1:9" ht="20.100000000000001" customHeight="1">
      <c r="B12" s="4" t="s">
        <v>399</v>
      </c>
      <c r="C12" s="4" t="s">
        <v>401</v>
      </c>
      <c r="D12" s="11" t="s">
        <v>402</v>
      </c>
      <c r="E12" s="11" t="s">
        <v>403</v>
      </c>
      <c r="F12" s="107" t="s">
        <v>404</v>
      </c>
      <c r="G12" s="107"/>
      <c r="H12" s="11" t="s">
        <v>406</v>
      </c>
      <c r="I12" s="11" t="s">
        <v>408</v>
      </c>
    </row>
    <row r="13" spans="1:9" ht="20.100000000000001" customHeight="1">
      <c r="A13" s="4" t="s">
        <v>347</v>
      </c>
      <c r="B13" s="103">
        <v>40</v>
      </c>
      <c r="C13" s="11" t="s">
        <v>400</v>
      </c>
      <c r="D13" s="11">
        <v>62</v>
      </c>
      <c r="E13" s="11">
        <v>12</v>
      </c>
      <c r="F13" s="8">
        <v>12.2</v>
      </c>
      <c r="G13" s="8"/>
      <c r="H13" s="11">
        <v>45</v>
      </c>
      <c r="I13" s="11">
        <v>1</v>
      </c>
    </row>
    <row r="14" spans="1:9" ht="20.100000000000001" customHeight="1">
      <c r="A14" s="4" t="s">
        <v>348</v>
      </c>
      <c r="B14" s="103">
        <v>55</v>
      </c>
      <c r="C14" s="11" t="s">
        <v>405</v>
      </c>
      <c r="D14" s="11">
        <v>80</v>
      </c>
      <c r="E14" s="11">
        <v>13</v>
      </c>
      <c r="F14" s="102">
        <v>16</v>
      </c>
      <c r="H14" s="11">
        <v>61.5</v>
      </c>
      <c r="I14" s="11">
        <v>1</v>
      </c>
    </row>
    <row r="15" spans="1:9" ht="20.100000000000001" customHeight="1"/>
    <row r="16" spans="1:9" ht="20.100000000000001" customHeight="1">
      <c r="A16" s="106" t="s">
        <v>462</v>
      </c>
    </row>
    <row r="17" spans="1:10" ht="20.100000000000001" customHeight="1">
      <c r="B17" s="4" t="s">
        <v>399</v>
      </c>
      <c r="C17" s="4" t="s">
        <v>401</v>
      </c>
      <c r="D17" s="11" t="s">
        <v>407</v>
      </c>
      <c r="E17" s="11" t="s">
        <v>403</v>
      </c>
      <c r="F17" s="11" t="s">
        <v>468</v>
      </c>
    </row>
    <row r="18" spans="1:10" ht="20.100000000000001" customHeight="1">
      <c r="A18" s="4" t="s">
        <v>347</v>
      </c>
      <c r="B18" s="103">
        <v>40</v>
      </c>
      <c r="C18" s="4" t="s">
        <v>466</v>
      </c>
      <c r="D18" s="11">
        <v>58</v>
      </c>
      <c r="E18" s="11">
        <v>9</v>
      </c>
      <c r="F18" s="11">
        <v>1.5</v>
      </c>
    </row>
    <row r="19" spans="1:10" ht="20.100000000000001" customHeight="1">
      <c r="A19" s="4" t="s">
        <v>348</v>
      </c>
      <c r="B19" s="103">
        <v>55</v>
      </c>
      <c r="C19" s="4" t="s">
        <v>467</v>
      </c>
      <c r="D19" s="11">
        <v>75</v>
      </c>
      <c r="E19" s="11">
        <v>11</v>
      </c>
      <c r="F19" s="11">
        <v>2</v>
      </c>
    </row>
    <row r="20" spans="1:10" ht="20.100000000000001" customHeight="1"/>
    <row r="21" spans="1:10" ht="20.100000000000001" customHeight="1">
      <c r="A21" s="106" t="s">
        <v>461</v>
      </c>
    </row>
    <row r="22" spans="1:10" ht="20.100000000000001" customHeight="1">
      <c r="B22" s="4" t="s">
        <v>399</v>
      </c>
      <c r="C22" s="4" t="s">
        <v>401</v>
      </c>
      <c r="D22" s="11" t="s">
        <v>411</v>
      </c>
      <c r="E22" s="11" t="s">
        <v>412</v>
      </c>
      <c r="F22" s="4" t="s">
        <v>413</v>
      </c>
      <c r="G22" s="4" t="s">
        <v>417</v>
      </c>
      <c r="H22" s="11" t="s">
        <v>153</v>
      </c>
    </row>
    <row r="23" spans="1:10" ht="20.100000000000001" customHeight="1">
      <c r="A23" s="4" t="s">
        <v>347</v>
      </c>
      <c r="B23" s="103">
        <v>40</v>
      </c>
      <c r="C23" s="4" t="s">
        <v>409</v>
      </c>
      <c r="D23" s="11">
        <v>62</v>
      </c>
      <c r="E23" s="11">
        <v>1.2</v>
      </c>
      <c r="F23" s="11">
        <v>6</v>
      </c>
      <c r="G23" s="11">
        <v>37.5</v>
      </c>
      <c r="H23" s="11">
        <v>2.5</v>
      </c>
    </row>
    <row r="24" spans="1:10" ht="20.100000000000001" customHeight="1">
      <c r="A24" s="4" t="s">
        <v>348</v>
      </c>
      <c r="B24" s="103">
        <v>55</v>
      </c>
      <c r="C24" s="4" t="s">
        <v>410</v>
      </c>
      <c r="D24" s="11">
        <v>81</v>
      </c>
      <c r="E24" s="11">
        <v>1.2</v>
      </c>
      <c r="F24" s="11">
        <v>8</v>
      </c>
      <c r="G24" s="11">
        <v>52.5</v>
      </c>
      <c r="H24" s="11">
        <v>4</v>
      </c>
    </row>
    <row r="25" spans="1:10" ht="20.100000000000001" customHeight="1"/>
    <row r="26" spans="1:10" ht="20.100000000000001" customHeight="1">
      <c r="A26" s="106" t="s">
        <v>463</v>
      </c>
    </row>
    <row r="27" spans="1:10" ht="20.100000000000001" customHeight="1">
      <c r="B27" s="11" t="s">
        <v>419</v>
      </c>
      <c r="C27" s="11" t="s">
        <v>414</v>
      </c>
      <c r="D27" s="11" t="s">
        <v>415</v>
      </c>
      <c r="E27" s="11" t="s">
        <v>416</v>
      </c>
      <c r="F27" s="11" t="s">
        <v>399</v>
      </c>
      <c r="G27" s="11" t="s">
        <v>414</v>
      </c>
      <c r="H27" s="11" t="s">
        <v>415</v>
      </c>
      <c r="I27" s="11" t="s">
        <v>416</v>
      </c>
    </row>
    <row r="28" spans="1:10" ht="20.100000000000001" customHeight="1">
      <c r="A28" s="4" t="s">
        <v>347</v>
      </c>
      <c r="B28" s="103">
        <v>35</v>
      </c>
      <c r="C28" s="11">
        <v>10</v>
      </c>
      <c r="D28" s="11">
        <v>5</v>
      </c>
      <c r="E28" s="11">
        <v>56</v>
      </c>
      <c r="F28" s="103">
        <v>40</v>
      </c>
      <c r="G28" s="11">
        <v>6.5</v>
      </c>
      <c r="H28" s="11">
        <v>3</v>
      </c>
      <c r="I28" s="11">
        <v>18</v>
      </c>
      <c r="J28" s="11">
        <f>1.2+9+3+4.5</f>
        <v>17.7</v>
      </c>
    </row>
    <row r="29" spans="1:10" ht="20.100000000000001" customHeight="1">
      <c r="A29" s="4" t="s">
        <v>348</v>
      </c>
      <c r="B29" s="103">
        <v>50</v>
      </c>
      <c r="C29" s="11">
        <v>14</v>
      </c>
      <c r="D29" s="11">
        <v>5.5</v>
      </c>
      <c r="E29" s="11">
        <v>56</v>
      </c>
      <c r="F29" s="103">
        <v>55</v>
      </c>
      <c r="G29" s="11">
        <v>8.5</v>
      </c>
      <c r="H29" s="11">
        <v>3</v>
      </c>
      <c r="I29" s="11">
        <v>24</v>
      </c>
      <c r="J29" s="11">
        <f>1.2+11+4+6</f>
        <v>22.2</v>
      </c>
    </row>
    <row r="30" spans="1:10" ht="20.100000000000001" customHeight="1">
      <c r="B30" s="11" t="s">
        <v>418</v>
      </c>
      <c r="C30" s="11" t="s">
        <v>414</v>
      </c>
      <c r="D30" s="11" t="s">
        <v>415</v>
      </c>
      <c r="E30" s="11" t="s">
        <v>416</v>
      </c>
    </row>
    <row r="31" spans="1:10" ht="20.100000000000001" customHeight="1">
      <c r="A31" s="4" t="s">
        <v>347</v>
      </c>
      <c r="B31" s="103">
        <v>49</v>
      </c>
      <c r="C31" s="11">
        <v>14</v>
      </c>
      <c r="D31" s="11">
        <v>5.5</v>
      </c>
      <c r="E31" s="11">
        <v>36</v>
      </c>
    </row>
    <row r="32" spans="1:10" ht="20.100000000000001" customHeight="1">
      <c r="A32" s="4" t="s">
        <v>348</v>
      </c>
      <c r="B32" s="103">
        <v>61</v>
      </c>
      <c r="C32" s="11">
        <v>18</v>
      </c>
      <c r="D32" s="11">
        <v>7</v>
      </c>
      <c r="E32" s="11">
        <v>50</v>
      </c>
    </row>
    <row r="33" ht="20.100000000000001" customHeight="1"/>
    <row r="34" ht="20.100000000000001" customHeight="1"/>
    <row r="35" ht="20.100000000000001" customHeight="1"/>
    <row r="36" ht="20.100000000000001" customHeight="1"/>
  </sheetData>
  <mergeCells count="1">
    <mergeCell ref="F12:G12"/>
  </mergeCells>
  <phoneticPr fontId="2"/>
  <pageMargins left="0.78740157480314965" right="0.39370078740157483" top="0.98425196850393704" bottom="0.98425196850393704" header="0.51181102362204722" footer="0"/>
  <pageSetup paperSize="9" scale="95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8"/>
  <sheetViews>
    <sheetView zoomScale="80" zoomScaleNormal="80" workbookViewId="0">
      <selection activeCell="H27" sqref="H27:J27"/>
    </sheetView>
  </sheetViews>
  <sheetFormatPr defaultRowHeight="13.5"/>
  <cols>
    <col min="1" max="1" width="4.25" customWidth="1"/>
    <col min="2" max="2" width="6.25" customWidth="1"/>
    <col min="3" max="3" width="4.375" customWidth="1"/>
    <col min="4" max="4" width="5.375" customWidth="1"/>
    <col min="5" max="5" width="6.125" customWidth="1"/>
    <col min="8" max="8" width="3.375" customWidth="1"/>
    <col min="9" max="9" width="4" customWidth="1"/>
    <col min="10" max="10" width="7.5" customWidth="1"/>
    <col min="11" max="11" width="4" customWidth="1"/>
  </cols>
  <sheetData>
    <row r="1" spans="1:14" ht="24.95" customHeight="1">
      <c r="A1" s="5" t="s">
        <v>28</v>
      </c>
    </row>
    <row r="2" spans="1:14" ht="24.95" customHeight="1">
      <c r="A2" s="38" t="s">
        <v>29</v>
      </c>
    </row>
    <row r="3" spans="1:14" ht="24.95" customHeight="1">
      <c r="A3" s="2" t="s">
        <v>31</v>
      </c>
      <c r="D3" s="268" t="s">
        <v>293</v>
      </c>
      <c r="E3" s="291" t="s">
        <v>30</v>
      </c>
      <c r="F3" s="291"/>
      <c r="G3" s="291"/>
      <c r="H3" s="268" t="s">
        <v>294</v>
      </c>
      <c r="I3" s="283" t="e">
        <f>(C5/J5)^3</f>
        <v>#DIV/0!</v>
      </c>
      <c r="J3" s="284"/>
      <c r="K3" s="285"/>
      <c r="L3" s="289" t="s">
        <v>33</v>
      </c>
    </row>
    <row r="4" spans="1:14" ht="24.95" customHeight="1">
      <c r="D4" s="269"/>
      <c r="E4" s="291"/>
      <c r="F4" s="291"/>
      <c r="G4" s="291"/>
      <c r="H4" s="269"/>
      <c r="I4" s="286"/>
      <c r="J4" s="287"/>
      <c r="K4" s="288"/>
      <c r="L4" s="138"/>
    </row>
    <row r="5" spans="1:14" ht="24.95" customHeight="1">
      <c r="B5" s="6" t="s">
        <v>295</v>
      </c>
      <c r="C5" s="290">
        <v>0</v>
      </c>
      <c r="D5" s="290"/>
      <c r="E5" s="2" t="s">
        <v>42</v>
      </c>
      <c r="F5" s="2"/>
      <c r="I5" s="6" t="s">
        <v>296</v>
      </c>
      <c r="J5" s="290">
        <v>0</v>
      </c>
      <c r="K5" s="290"/>
      <c r="L5" s="2" t="s">
        <v>43</v>
      </c>
      <c r="M5" s="2"/>
    </row>
    <row r="6" spans="1:14" ht="24.95" customHeight="1">
      <c r="A6" s="2" t="s">
        <v>32</v>
      </c>
    </row>
    <row r="7" spans="1:14" ht="24.95" customHeight="1">
      <c r="D7" s="268" t="s">
        <v>293</v>
      </c>
      <c r="E7" s="291" t="s">
        <v>297</v>
      </c>
      <c r="F7" s="291"/>
      <c r="G7" s="291"/>
      <c r="H7" s="268" t="s">
        <v>294</v>
      </c>
      <c r="I7" s="283" t="e">
        <f>(C9/J9)^(10/3)</f>
        <v>#DIV/0!</v>
      </c>
      <c r="J7" s="284"/>
      <c r="K7" s="285"/>
      <c r="L7" s="289" t="s">
        <v>33</v>
      </c>
    </row>
    <row r="8" spans="1:14" ht="24.95" customHeight="1">
      <c r="D8" s="269"/>
      <c r="E8" s="291"/>
      <c r="F8" s="291"/>
      <c r="G8" s="291"/>
      <c r="H8" s="269"/>
      <c r="I8" s="286"/>
      <c r="J8" s="287"/>
      <c r="K8" s="288"/>
      <c r="L8" s="138"/>
    </row>
    <row r="9" spans="1:14" ht="24.95" customHeight="1">
      <c r="B9" s="6" t="s">
        <v>295</v>
      </c>
      <c r="C9" s="290">
        <v>0</v>
      </c>
      <c r="D9" s="290"/>
      <c r="E9" s="2" t="s">
        <v>42</v>
      </c>
      <c r="F9" s="2"/>
      <c r="I9" s="6" t="s">
        <v>296</v>
      </c>
      <c r="J9" s="290">
        <v>0</v>
      </c>
      <c r="K9" s="290"/>
      <c r="L9" s="2" t="s">
        <v>43</v>
      </c>
      <c r="M9" s="2"/>
    </row>
    <row r="10" spans="1:14" ht="24.95" customHeight="1"/>
    <row r="11" spans="1:14" ht="24.95" customHeight="1">
      <c r="A11" s="38" t="s">
        <v>34</v>
      </c>
    </row>
    <row r="12" spans="1:14" ht="24.95" customHeight="1">
      <c r="D12" s="111" t="s">
        <v>298</v>
      </c>
      <c r="E12" s="112" t="s">
        <v>299</v>
      </c>
      <c r="F12" s="175"/>
      <c r="H12" s="268" t="s">
        <v>294</v>
      </c>
      <c r="I12" s="283" t="e">
        <f>IF(J15=0,I3*10^6/(C15*60),I7*10^6/(C15*60))</f>
        <v>#DIV/0!</v>
      </c>
      <c r="J12" s="284"/>
      <c r="K12" s="285"/>
      <c r="L12" s="138" t="s">
        <v>300</v>
      </c>
    </row>
    <row r="13" spans="1:14" ht="24.95" customHeight="1">
      <c r="D13" s="269"/>
      <c r="E13" s="111" t="s">
        <v>301</v>
      </c>
      <c r="F13" s="138"/>
      <c r="H13" s="269"/>
      <c r="I13" s="286"/>
      <c r="J13" s="287"/>
      <c r="K13" s="288"/>
      <c r="L13" s="138"/>
    </row>
    <row r="14" spans="1:14" ht="24.95" customHeight="1"/>
    <row r="15" spans="1:14" ht="24.95" customHeight="1">
      <c r="B15" s="86" t="s">
        <v>302</v>
      </c>
      <c r="C15" s="206">
        <v>0</v>
      </c>
      <c r="D15" s="207"/>
      <c r="E15" s="2" t="s">
        <v>35</v>
      </c>
      <c r="F15" s="2"/>
      <c r="H15" s="190" t="s">
        <v>36</v>
      </c>
      <c r="I15" s="188"/>
      <c r="J15" s="77">
        <v>0</v>
      </c>
      <c r="K15" s="2" t="s">
        <v>37</v>
      </c>
      <c r="L15" s="2"/>
      <c r="M15" s="2" t="s">
        <v>38</v>
      </c>
      <c r="N15" s="2"/>
    </row>
    <row r="16" spans="1:14" ht="24.95" customHeight="1"/>
    <row r="17" spans="1:14" ht="24.95" customHeight="1">
      <c r="A17" s="5" t="s">
        <v>39</v>
      </c>
    </row>
    <row r="18" spans="1:14" ht="24.95" customHeight="1">
      <c r="B18" s="86" t="s">
        <v>302</v>
      </c>
      <c r="C18" s="281">
        <v>582</v>
      </c>
      <c r="D18" s="282"/>
      <c r="E18" s="2" t="s">
        <v>35</v>
      </c>
      <c r="F18" s="2"/>
      <c r="H18" s="190" t="s">
        <v>36</v>
      </c>
      <c r="I18" s="188"/>
      <c r="J18" s="206">
        <v>0</v>
      </c>
      <c r="K18" s="207"/>
      <c r="L18" s="2" t="s">
        <v>37</v>
      </c>
      <c r="M18" s="2" t="s">
        <v>38</v>
      </c>
      <c r="N18" s="2"/>
    </row>
    <row r="19" spans="1:14" ht="24.95" customHeight="1">
      <c r="B19" s="87" t="s">
        <v>303</v>
      </c>
      <c r="C19" s="281">
        <f>H27</f>
        <v>30000</v>
      </c>
      <c r="D19" s="282"/>
      <c r="E19" s="2" t="s">
        <v>40</v>
      </c>
      <c r="F19" s="2"/>
      <c r="H19" s="190" t="s">
        <v>296</v>
      </c>
      <c r="I19" s="189"/>
      <c r="J19" s="206">
        <v>568</v>
      </c>
      <c r="K19" s="207"/>
      <c r="L19" s="2" t="s">
        <v>304</v>
      </c>
      <c r="M19" s="2"/>
    </row>
    <row r="20" spans="1:14" ht="24.95" customHeight="1">
      <c r="D20" s="177" t="s">
        <v>293</v>
      </c>
      <c r="E20" s="111" t="s">
        <v>305</v>
      </c>
      <c r="F20" s="138"/>
      <c r="G20" s="138"/>
      <c r="H20" s="268" t="s">
        <v>294</v>
      </c>
      <c r="I20" s="277">
        <f>C19*C18*60/(10^6)</f>
        <v>1047.5999999999999</v>
      </c>
      <c r="J20" s="278"/>
      <c r="K20" s="265" t="s">
        <v>313</v>
      </c>
      <c r="L20" s="266"/>
    </row>
    <row r="21" spans="1:14" ht="24.95" customHeight="1">
      <c r="D21" s="267"/>
      <c r="E21" s="138"/>
      <c r="F21" s="138"/>
      <c r="G21" s="138"/>
      <c r="H21" s="269"/>
      <c r="I21" s="279"/>
      <c r="J21" s="280"/>
      <c r="K21" s="265"/>
      <c r="L21" s="266"/>
    </row>
    <row r="22" spans="1:14" ht="24.95" customHeight="1">
      <c r="D22" s="177" t="s">
        <v>295</v>
      </c>
      <c r="E22" s="270" t="s">
        <v>41</v>
      </c>
      <c r="F22" s="270"/>
      <c r="G22" s="270"/>
      <c r="H22" s="268" t="s">
        <v>294</v>
      </c>
      <c r="I22" s="271">
        <f>IF(J18=0,I20^(1/3)*J19,I20^(3/10)*J19)</f>
        <v>5768.7293749163955</v>
      </c>
      <c r="J22" s="272"/>
      <c r="K22" s="138"/>
    </row>
    <row r="23" spans="1:14" ht="24.95" customHeight="1">
      <c r="D23" s="177"/>
      <c r="E23" s="270"/>
      <c r="F23" s="270"/>
      <c r="G23" s="270"/>
      <c r="H23" s="268"/>
      <c r="I23" s="273"/>
      <c r="J23" s="274"/>
      <c r="K23" s="138"/>
    </row>
    <row r="24" spans="1:14" ht="24.95" customHeight="1">
      <c r="D24" s="177"/>
      <c r="E24" s="270"/>
      <c r="F24" s="270"/>
      <c r="G24" s="270"/>
      <c r="H24" s="268"/>
      <c r="I24" s="275"/>
      <c r="J24" s="276"/>
      <c r="K24" s="138"/>
    </row>
    <row r="25" spans="1:14" ht="24.95" customHeight="1"/>
    <row r="26" spans="1:14" ht="24.95" customHeight="1">
      <c r="B26" t="s">
        <v>306</v>
      </c>
      <c r="E26" s="67">
        <v>10</v>
      </c>
      <c r="F26" t="s">
        <v>300</v>
      </c>
      <c r="G26" t="s">
        <v>307</v>
      </c>
      <c r="I26" s="88">
        <v>300</v>
      </c>
      <c r="J26" t="s">
        <v>308</v>
      </c>
    </row>
    <row r="27" spans="1:14" ht="24.95" customHeight="1">
      <c r="B27" t="s">
        <v>309</v>
      </c>
      <c r="E27" s="67">
        <v>10</v>
      </c>
      <c r="F27" t="s">
        <v>310</v>
      </c>
      <c r="G27" s="1" t="s">
        <v>311</v>
      </c>
      <c r="H27" s="264">
        <f>E26*E27*I26</f>
        <v>30000</v>
      </c>
      <c r="I27" s="264"/>
      <c r="J27" s="264"/>
      <c r="K27" t="s">
        <v>312</v>
      </c>
    </row>
    <row r="28" spans="1:14" ht="24.95" customHeight="1"/>
  </sheetData>
  <mergeCells count="39">
    <mergeCell ref="L12:L13"/>
    <mergeCell ref="D7:D8"/>
    <mergeCell ref="H7:H8"/>
    <mergeCell ref="E3:G4"/>
    <mergeCell ref="E7:G8"/>
    <mergeCell ref="C5:D5"/>
    <mergeCell ref="L3:L4"/>
    <mergeCell ref="I7:K8"/>
    <mergeCell ref="L7:L8"/>
    <mergeCell ref="C9:D9"/>
    <mergeCell ref="J9:K9"/>
    <mergeCell ref="J5:K5"/>
    <mergeCell ref="D3:D4"/>
    <mergeCell ref="H3:H4"/>
    <mergeCell ref="I3:K4"/>
    <mergeCell ref="C19:D19"/>
    <mergeCell ref="J19:K19"/>
    <mergeCell ref="E13:F13"/>
    <mergeCell ref="H19:I19"/>
    <mergeCell ref="J18:K18"/>
    <mergeCell ref="C18:D18"/>
    <mergeCell ref="H18:I18"/>
    <mergeCell ref="H12:H13"/>
    <mergeCell ref="I12:K13"/>
    <mergeCell ref="C15:D15"/>
    <mergeCell ref="H15:I15"/>
    <mergeCell ref="D12:D13"/>
    <mergeCell ref="E12:F12"/>
    <mergeCell ref="H27:J27"/>
    <mergeCell ref="K20:L21"/>
    <mergeCell ref="K22:K24"/>
    <mergeCell ref="D20:D21"/>
    <mergeCell ref="E20:G21"/>
    <mergeCell ref="H20:H21"/>
    <mergeCell ref="E22:G24"/>
    <mergeCell ref="D22:D24"/>
    <mergeCell ref="H22:H24"/>
    <mergeCell ref="I22:J24"/>
    <mergeCell ref="I20:J21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I22" sqref="I22:J22"/>
    </sheetView>
  </sheetViews>
  <sheetFormatPr defaultRowHeight="13.5"/>
  <cols>
    <col min="1" max="2" width="5.625" customWidth="1"/>
    <col min="3" max="3" width="6.5" bestFit="1" customWidth="1"/>
    <col min="4" max="14" width="5.625" customWidth="1"/>
    <col min="15" max="15" width="6.875" bestFit="1" customWidth="1"/>
    <col min="16" max="18" width="5.625" customWidth="1"/>
  </cols>
  <sheetData>
    <row r="1" spans="1:15" ht="20.100000000000001" customHeight="1">
      <c r="A1" t="s">
        <v>392</v>
      </c>
    </row>
    <row r="2" spans="1:15" ht="20.100000000000001" customHeight="1">
      <c r="B2" s="125" t="s">
        <v>355</v>
      </c>
      <c r="C2" s="138" t="s">
        <v>356</v>
      </c>
      <c r="D2" s="175" t="s">
        <v>357</v>
      </c>
      <c r="E2" s="175"/>
      <c r="H2" t="s">
        <v>359</v>
      </c>
      <c r="L2" t="s">
        <v>376</v>
      </c>
      <c r="M2" t="s">
        <v>378</v>
      </c>
      <c r="N2" t="s">
        <v>377</v>
      </c>
      <c r="O2">
        <f>150*PI()/180</f>
        <v>2.6179938779914944</v>
      </c>
    </row>
    <row r="3" spans="1:15" ht="20.100000000000001" customHeight="1">
      <c r="B3" s="125"/>
      <c r="C3" s="138"/>
      <c r="D3" s="185" t="s">
        <v>358</v>
      </c>
      <c r="E3" s="185"/>
      <c r="H3" t="s">
        <v>360</v>
      </c>
    </row>
    <row r="4" spans="1:15" ht="20.100000000000001" customHeight="1">
      <c r="B4" s="125" t="s">
        <v>365</v>
      </c>
      <c r="C4" s="90" t="s">
        <v>366</v>
      </c>
      <c r="D4" s="138" t="s">
        <v>368</v>
      </c>
      <c r="E4" s="175" t="s">
        <v>375</v>
      </c>
      <c r="F4" s="175"/>
      <c r="H4" t="s">
        <v>362</v>
      </c>
      <c r="L4" s="99" t="s">
        <v>363</v>
      </c>
      <c r="O4" s="100">
        <f>0.25/(SIN(20/180*PI())*1)</f>
        <v>0.73095110004077191</v>
      </c>
    </row>
    <row r="5" spans="1:15" ht="20.100000000000001" customHeight="1">
      <c r="B5" s="125"/>
      <c r="C5" s="3" t="s">
        <v>367</v>
      </c>
      <c r="D5" s="138"/>
      <c r="E5" s="293">
        <f>PI()*L8*L7/(1000*60)</f>
        <v>7.1428716648589221</v>
      </c>
      <c r="F5" s="293"/>
      <c r="H5" t="s">
        <v>361</v>
      </c>
    </row>
    <row r="6" spans="1:15" ht="20.100000000000001" customHeight="1">
      <c r="B6" s="1" t="s">
        <v>9</v>
      </c>
      <c r="C6" s="294">
        <f>1.5*1000/7.1</f>
        <v>211.26760563380282</v>
      </c>
      <c r="D6" s="294"/>
      <c r="E6" t="s">
        <v>61</v>
      </c>
      <c r="H6" t="s">
        <v>364</v>
      </c>
      <c r="K6" t="s">
        <v>369</v>
      </c>
    </row>
    <row r="7" spans="1:15" ht="20.100000000000001" customHeight="1">
      <c r="B7" s="125" t="s">
        <v>355</v>
      </c>
      <c r="C7" s="294">
        <f>C6</f>
        <v>211.26760563380282</v>
      </c>
      <c r="D7" s="175" t="s">
        <v>379</v>
      </c>
      <c r="E7" s="175"/>
      <c r="F7" s="175"/>
      <c r="H7" t="s">
        <v>370</v>
      </c>
      <c r="L7" s="101">
        <v>581</v>
      </c>
      <c r="M7" t="s">
        <v>371</v>
      </c>
    </row>
    <row r="8" spans="1:15" ht="20.100000000000001" customHeight="1">
      <c r="B8" s="125"/>
      <c r="C8" s="138"/>
      <c r="D8" s="138" t="s">
        <v>380</v>
      </c>
      <c r="E8" s="138"/>
      <c r="F8" s="138"/>
      <c r="H8" t="s">
        <v>372</v>
      </c>
      <c r="L8" s="101">
        <v>234.8</v>
      </c>
      <c r="M8" t="s">
        <v>374</v>
      </c>
    </row>
    <row r="9" spans="1:15" ht="20.100000000000001" customHeight="1">
      <c r="B9" s="125" t="s">
        <v>382</v>
      </c>
      <c r="C9" s="138">
        <f>211.3*EXP(0.731*2.618)/(EXP(0.731*2.618)-1)</f>
        <v>247.86649030828201</v>
      </c>
      <c r="D9" s="138" t="s">
        <v>383</v>
      </c>
      <c r="E9" s="138"/>
      <c r="F9" s="138"/>
      <c r="H9" t="s">
        <v>373</v>
      </c>
      <c r="L9">
        <v>1.5</v>
      </c>
    </row>
    <row r="10" spans="1:15" ht="20.100000000000001" customHeight="1">
      <c r="B10" s="125"/>
      <c r="C10" s="138"/>
      <c r="D10" s="138"/>
      <c r="E10" s="138"/>
      <c r="F10" s="138"/>
    </row>
    <row r="11" spans="1:15" ht="20.100000000000001" customHeight="1">
      <c r="B11" s="125" t="s">
        <v>381</v>
      </c>
      <c r="C11" s="294">
        <f>C9-C7</f>
        <v>36.598884674479194</v>
      </c>
      <c r="D11" s="138" t="s">
        <v>384</v>
      </c>
      <c r="E11" s="138"/>
      <c r="F11" s="138"/>
      <c r="H11" t="s">
        <v>391</v>
      </c>
      <c r="J11" s="85">
        <f>ROUNDUP(3.3*9.8,0)</f>
        <v>33</v>
      </c>
      <c r="K11" t="s">
        <v>61</v>
      </c>
    </row>
    <row r="12" spans="1:15" ht="20.100000000000001" customHeight="1">
      <c r="B12" s="125"/>
      <c r="C12" s="138"/>
      <c r="D12" s="138"/>
      <c r="E12" s="138"/>
      <c r="F12" s="138"/>
      <c r="H12" s="138" t="s">
        <v>397</v>
      </c>
      <c r="I12" s="138"/>
      <c r="J12">
        <v>289</v>
      </c>
      <c r="K12" t="s">
        <v>61</v>
      </c>
    </row>
    <row r="13" spans="1:15" ht="20.100000000000001" customHeight="1">
      <c r="A13" t="s">
        <v>393</v>
      </c>
    </row>
    <row r="14" spans="1:15" ht="20.100000000000001" customHeight="1">
      <c r="B14" s="138" t="s">
        <v>394</v>
      </c>
      <c r="C14" s="90" t="s">
        <v>395</v>
      </c>
      <c r="D14" s="138" t="s">
        <v>9</v>
      </c>
      <c r="E14" s="138">
        <f>C6/COS(20/180*PI())</f>
        <v>224.82628995969975</v>
      </c>
      <c r="F14" s="138" t="s">
        <v>61</v>
      </c>
    </row>
    <row r="15" spans="1:15" ht="20.100000000000001" customHeight="1">
      <c r="B15" s="138"/>
      <c r="C15" t="s">
        <v>396</v>
      </c>
      <c r="D15" s="138"/>
      <c r="E15" s="138"/>
      <c r="F15" s="138"/>
    </row>
    <row r="16" spans="1:15" ht="20.100000000000001" customHeight="1"/>
    <row r="17" spans="1:10" ht="20.100000000000001" customHeight="1"/>
    <row r="18" spans="1:10" ht="20.100000000000001" customHeight="1">
      <c r="A18" t="s">
        <v>398</v>
      </c>
    </row>
    <row r="19" spans="1:10" ht="20.100000000000001" customHeight="1">
      <c r="B19" s="3" t="s">
        <v>385</v>
      </c>
      <c r="C19" s="138" t="s">
        <v>388</v>
      </c>
      <c r="D19" s="138"/>
      <c r="E19" s="138"/>
      <c r="F19" s="138" t="s">
        <v>389</v>
      </c>
      <c r="G19" s="138"/>
      <c r="H19" s="138"/>
      <c r="I19" s="138" t="s">
        <v>390</v>
      </c>
      <c r="J19" s="138"/>
    </row>
    <row r="20" spans="1:10" ht="20.100000000000001" customHeight="1">
      <c r="B20" s="3" t="s">
        <v>386</v>
      </c>
      <c r="C20" s="138">
        <f>289+207</f>
        <v>496</v>
      </c>
      <c r="D20" s="138"/>
      <c r="E20" s="138"/>
      <c r="F20" s="138">
        <f>ROUNDUP(225/2,0)</f>
        <v>113</v>
      </c>
      <c r="G20" s="138"/>
      <c r="H20" s="138"/>
      <c r="I20" s="138">
        <v>568</v>
      </c>
      <c r="J20" s="138"/>
    </row>
    <row r="21" spans="1:10" ht="20.100000000000001" customHeight="1">
      <c r="B21" s="3" t="s">
        <v>387</v>
      </c>
      <c r="C21" s="292">
        <f>ROUNDUP(289*100/140,0)</f>
        <v>207</v>
      </c>
      <c r="D21" s="292"/>
      <c r="E21" s="292"/>
      <c r="F21" s="138">
        <f>ROUNDUP(225/2,0)</f>
        <v>113</v>
      </c>
      <c r="G21" s="138"/>
      <c r="H21" s="138"/>
      <c r="I21" s="138">
        <v>172</v>
      </c>
      <c r="J21" s="138"/>
    </row>
    <row r="22" spans="1:10" ht="20.100000000000001" customHeight="1">
      <c r="B22" s="3" t="s">
        <v>291</v>
      </c>
      <c r="C22" s="138"/>
      <c r="D22" s="138"/>
      <c r="E22" s="138"/>
      <c r="F22" s="138">
        <v>113</v>
      </c>
      <c r="G22" s="138"/>
      <c r="H22" s="138"/>
      <c r="I22" s="138">
        <v>113</v>
      </c>
      <c r="J22" s="138"/>
    </row>
    <row r="23" spans="1:10" ht="20.100000000000001" customHeight="1">
      <c r="B23" s="3" t="s">
        <v>292</v>
      </c>
      <c r="C23" s="138"/>
      <c r="D23" s="138"/>
      <c r="E23" s="138"/>
      <c r="F23" s="138">
        <v>113</v>
      </c>
      <c r="G23" s="138"/>
      <c r="H23" s="138"/>
      <c r="I23" s="138">
        <v>113</v>
      </c>
      <c r="J23" s="138"/>
    </row>
    <row r="24" spans="1:10" ht="20.100000000000001" customHeight="1">
      <c r="B24">
        <v>289</v>
      </c>
      <c r="D24" s="138">
        <v>140</v>
      </c>
      <c r="E24" s="138"/>
      <c r="H24" s="138">
        <v>225</v>
      </c>
      <c r="I24" s="138"/>
    </row>
    <row r="25" spans="1:10" ht="20.100000000000001" customHeight="1"/>
    <row r="26" spans="1:10" ht="20.100000000000001" customHeight="1">
      <c r="C26" s="3">
        <v>100</v>
      </c>
      <c r="D26" t="s">
        <v>386</v>
      </c>
      <c r="F26" t="s">
        <v>387</v>
      </c>
      <c r="G26" t="s">
        <v>386</v>
      </c>
      <c r="J26" t="s">
        <v>387</v>
      </c>
    </row>
  </sheetData>
  <mergeCells count="41">
    <mergeCell ref="D7:F7"/>
    <mergeCell ref="D8:F8"/>
    <mergeCell ref="B2:B3"/>
    <mergeCell ref="C2:C3"/>
    <mergeCell ref="D2:E2"/>
    <mergeCell ref="D3:E3"/>
    <mergeCell ref="D24:E24"/>
    <mergeCell ref="H24:I24"/>
    <mergeCell ref="C23:E23"/>
    <mergeCell ref="B4:B5"/>
    <mergeCell ref="D4:D5"/>
    <mergeCell ref="E4:F4"/>
    <mergeCell ref="E5:F5"/>
    <mergeCell ref="C6:D6"/>
    <mergeCell ref="B7:B8"/>
    <mergeCell ref="C7:C8"/>
    <mergeCell ref="B9:B10"/>
    <mergeCell ref="C9:C10"/>
    <mergeCell ref="D9:F10"/>
    <mergeCell ref="D11:F12"/>
    <mergeCell ref="B11:B12"/>
    <mergeCell ref="C11:C12"/>
    <mergeCell ref="I21:J21"/>
    <mergeCell ref="I22:J22"/>
    <mergeCell ref="I23:J23"/>
    <mergeCell ref="C20:E20"/>
    <mergeCell ref="C21:E21"/>
    <mergeCell ref="C22:E22"/>
    <mergeCell ref="F20:H20"/>
    <mergeCell ref="F22:H22"/>
    <mergeCell ref="F23:H23"/>
    <mergeCell ref="B14:B15"/>
    <mergeCell ref="D14:D15"/>
    <mergeCell ref="E14:E15"/>
    <mergeCell ref="F14:F15"/>
    <mergeCell ref="F21:H21"/>
    <mergeCell ref="H12:I12"/>
    <mergeCell ref="C19:E19"/>
    <mergeCell ref="F19:H19"/>
    <mergeCell ref="I19:J19"/>
    <mergeCell ref="I20:J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8"/>
  <sheetViews>
    <sheetView zoomScale="80" zoomScaleNormal="80" workbookViewId="0">
      <selection activeCell="I11" sqref="I11"/>
    </sheetView>
  </sheetViews>
  <sheetFormatPr defaultRowHeight="13.5"/>
  <cols>
    <col min="6" max="6" width="3.75" customWidth="1"/>
    <col min="7" max="7" width="3.625" customWidth="1"/>
    <col min="8" max="8" width="6.375" customWidth="1"/>
    <col min="9" max="9" width="4.5" customWidth="1"/>
    <col min="10" max="10" width="4.25" customWidth="1"/>
    <col min="11" max="11" width="5.875" customWidth="1"/>
    <col min="12" max="12" width="5.125" customWidth="1"/>
  </cols>
  <sheetData>
    <row r="1" spans="1:14" ht="30.75" customHeight="1">
      <c r="A1" s="93" t="s">
        <v>330</v>
      </c>
    </row>
    <row r="2" spans="1:14" ht="24.95" customHeight="1">
      <c r="A2" s="2" t="s">
        <v>344</v>
      </c>
      <c r="C2" s="92">
        <v>1</v>
      </c>
      <c r="D2" t="s">
        <v>331</v>
      </c>
    </row>
    <row r="3" spans="1:14" ht="24.95" customHeight="1">
      <c r="A3" s="179" t="s">
        <v>318</v>
      </c>
      <c r="C3" s="138"/>
      <c r="H3" s="23" t="s">
        <v>338</v>
      </c>
      <c r="I3" s="300">
        <v>583</v>
      </c>
      <c r="J3" s="300"/>
      <c r="K3" t="s">
        <v>56</v>
      </c>
      <c r="L3" s="35" t="s">
        <v>341</v>
      </c>
      <c r="M3" s="92">
        <v>25</v>
      </c>
      <c r="N3" t="s">
        <v>320</v>
      </c>
    </row>
    <row r="4" spans="1:14" ht="24.95" customHeight="1">
      <c r="A4" s="179"/>
      <c r="C4" s="138"/>
      <c r="H4" s="23" t="s">
        <v>339</v>
      </c>
      <c r="I4" s="300">
        <v>16</v>
      </c>
      <c r="J4" s="300"/>
      <c r="K4" t="s">
        <v>320</v>
      </c>
      <c r="L4" s="35" t="s">
        <v>342</v>
      </c>
      <c r="M4" s="92">
        <v>55</v>
      </c>
      <c r="N4" t="s">
        <v>320</v>
      </c>
    </row>
    <row r="5" spans="1:14" ht="24.95" customHeight="1">
      <c r="A5" s="1" t="s">
        <v>319</v>
      </c>
      <c r="B5" s="301">
        <f>E10/IF(C2=1,B16,IF(C2=2,B21,B26))</f>
        <v>10.031578849837924</v>
      </c>
      <c r="C5" s="301"/>
      <c r="H5" s="23" t="s">
        <v>340</v>
      </c>
      <c r="I5" s="300">
        <v>1.5</v>
      </c>
      <c r="J5" s="300"/>
      <c r="K5" t="s">
        <v>27</v>
      </c>
    </row>
    <row r="6" spans="1:14" ht="24.95" customHeight="1"/>
    <row r="7" spans="1:14" ht="24.95" customHeight="1">
      <c r="A7" s="138" t="s">
        <v>325</v>
      </c>
      <c r="B7" s="175" t="s">
        <v>321</v>
      </c>
      <c r="C7" s="175"/>
      <c r="D7" s="138" t="s">
        <v>9</v>
      </c>
      <c r="E7" s="296">
        <f>PI()*M4*I3/(1000*60)</f>
        <v>1.6789194739559454</v>
      </c>
      <c r="F7" s="298" t="s">
        <v>54</v>
      </c>
      <c r="G7" s="138"/>
    </row>
    <row r="8" spans="1:14" ht="24.95" customHeight="1">
      <c r="A8" s="138"/>
      <c r="B8" s="299" t="s">
        <v>322</v>
      </c>
      <c r="C8" s="299"/>
      <c r="D8" s="138"/>
      <c r="E8" s="297"/>
      <c r="F8" s="298"/>
      <c r="G8" s="138"/>
    </row>
    <row r="9" spans="1:14" ht="24.95" customHeight="1"/>
    <row r="10" spans="1:14" ht="24.95" customHeight="1">
      <c r="A10" s="138" t="s">
        <v>337</v>
      </c>
      <c r="B10" s="90" t="s">
        <v>323</v>
      </c>
      <c r="D10" s="138" t="s">
        <v>9</v>
      </c>
      <c r="E10" s="296">
        <f>1000*I5/E7</f>
        <v>893.43177160583684</v>
      </c>
      <c r="F10" s="298" t="s">
        <v>61</v>
      </c>
      <c r="G10" s="138"/>
    </row>
    <row r="11" spans="1:14" ht="24.95" customHeight="1">
      <c r="A11" s="138"/>
      <c r="B11" s="3" t="s">
        <v>324</v>
      </c>
      <c r="D11" s="138"/>
      <c r="E11" s="297"/>
      <c r="F11" s="298"/>
      <c r="G11" s="138"/>
    </row>
    <row r="12" spans="1:14" ht="24.95" customHeight="1">
      <c r="A12" s="134">
        <v>2</v>
      </c>
      <c r="B12" s="134"/>
      <c r="C12" s="134"/>
    </row>
    <row r="13" spans="1:14" ht="24.95" customHeight="1">
      <c r="A13" s="10" t="s">
        <v>332</v>
      </c>
      <c r="B13" s="10"/>
      <c r="C13" s="10"/>
    </row>
    <row r="14" spans="1:14" ht="24.95" customHeight="1">
      <c r="A14" s="138" t="s">
        <v>326</v>
      </c>
      <c r="B14" s="90" t="s">
        <v>327</v>
      </c>
      <c r="C14" s="138" t="s">
        <v>328</v>
      </c>
      <c r="D14" s="138" t="s">
        <v>329</v>
      </c>
      <c r="E14" s="138"/>
    </row>
    <row r="15" spans="1:14" ht="24.95" customHeight="1">
      <c r="A15" s="138"/>
      <c r="B15" s="3">
        <v>4</v>
      </c>
      <c r="C15" s="138"/>
      <c r="D15" s="138"/>
      <c r="E15" s="138"/>
    </row>
    <row r="16" spans="1:14" ht="24.95" customHeight="1">
      <c r="A16" s="138" t="s">
        <v>326</v>
      </c>
      <c r="B16" s="296">
        <f>IF($C$2=1,PI()*I4^2/4+(M3-2*I4)*I4,"")</f>
        <v>89.061929829746759</v>
      </c>
      <c r="C16" s="298" t="s">
        <v>343</v>
      </c>
    </row>
    <row r="17" spans="1:11" ht="24.95" customHeight="1">
      <c r="A17" s="138"/>
      <c r="B17" s="297"/>
      <c r="C17" s="298"/>
    </row>
    <row r="18" spans="1:11" ht="24.95" customHeight="1">
      <c r="A18" t="s">
        <v>334</v>
      </c>
    </row>
    <row r="19" spans="1:11" ht="24.95" customHeight="1">
      <c r="A19" s="138" t="s">
        <v>326</v>
      </c>
      <c r="B19" s="90" t="s">
        <v>327</v>
      </c>
      <c r="C19" s="138" t="s">
        <v>328</v>
      </c>
      <c r="D19" s="138" t="s">
        <v>335</v>
      </c>
      <c r="E19" s="138"/>
    </row>
    <row r="20" spans="1:11" ht="24.95" customHeight="1">
      <c r="A20" s="138"/>
      <c r="B20" s="3">
        <v>8</v>
      </c>
      <c r="C20" s="138"/>
      <c r="D20" s="138"/>
      <c r="E20" s="138"/>
    </row>
    <row r="21" spans="1:11" ht="24.95" customHeight="1">
      <c r="A21" s="138" t="s">
        <v>326</v>
      </c>
      <c r="B21" s="296" t="str">
        <f>IF(C2=2,PI()*I4^2/8+(M3-I4)*I4,"")</f>
        <v/>
      </c>
      <c r="C21" s="298" t="s">
        <v>343</v>
      </c>
    </row>
    <row r="22" spans="1:11" ht="24.95" customHeight="1">
      <c r="A22" s="138"/>
      <c r="B22" s="297"/>
      <c r="C22" s="298"/>
    </row>
    <row r="23" spans="1:11" ht="24.95" customHeight="1">
      <c r="A23" t="s">
        <v>333</v>
      </c>
    </row>
    <row r="24" spans="1:11" ht="24.95" customHeight="1">
      <c r="A24" s="138" t="s">
        <v>326</v>
      </c>
      <c r="B24" s="185" t="s">
        <v>336</v>
      </c>
      <c r="C24" s="138"/>
      <c r="D24" s="138"/>
      <c r="E24" s="138"/>
    </row>
    <row r="25" spans="1:11" ht="24.95" customHeight="1">
      <c r="A25" s="138"/>
      <c r="B25" s="185"/>
      <c r="C25" s="138"/>
      <c r="D25" s="138"/>
      <c r="E25" s="138"/>
    </row>
    <row r="26" spans="1:11" ht="24.95" customHeight="1">
      <c r="A26" s="138" t="s">
        <v>326</v>
      </c>
      <c r="B26" s="296" t="str">
        <f>IF(C2=3,I4*M3,"")</f>
        <v/>
      </c>
      <c r="C26" s="298" t="s">
        <v>343</v>
      </c>
    </row>
    <row r="27" spans="1:11" ht="24.95" customHeight="1">
      <c r="A27" s="138"/>
      <c r="B27" s="297"/>
      <c r="C27" s="298"/>
    </row>
    <row r="28" spans="1:11" ht="24.95" customHeight="1"/>
    <row r="29" spans="1:11" ht="24.95" customHeight="1">
      <c r="A29" t="s">
        <v>420</v>
      </c>
    </row>
    <row r="30" spans="1:11" ht="20.100000000000001" customHeight="1">
      <c r="A30" t="s">
        <v>421</v>
      </c>
    </row>
    <row r="31" spans="1:11" ht="20.100000000000001" customHeight="1" thickBot="1">
      <c r="A31" s="138" t="s">
        <v>422</v>
      </c>
      <c r="B31" s="105" t="s">
        <v>423</v>
      </c>
      <c r="C31" s="138" t="s">
        <v>424</v>
      </c>
      <c r="D31" s="295" t="s">
        <v>425</v>
      </c>
      <c r="E31" s="295"/>
      <c r="F31" s="138" t="s">
        <v>424</v>
      </c>
      <c r="G31" s="295" t="s">
        <v>426</v>
      </c>
      <c r="H31" s="295"/>
      <c r="J31" t="s">
        <v>427</v>
      </c>
      <c r="K31" t="s">
        <v>330</v>
      </c>
    </row>
    <row r="32" spans="1:11" ht="20.100000000000001" customHeight="1">
      <c r="A32" s="138"/>
      <c r="B32" s="3">
        <v>2</v>
      </c>
      <c r="C32" s="138"/>
      <c r="D32" s="138">
        <v>2</v>
      </c>
      <c r="E32" s="138"/>
      <c r="F32" s="138"/>
      <c r="G32" s="138">
        <v>16</v>
      </c>
      <c r="H32" s="138"/>
      <c r="J32" t="s">
        <v>428</v>
      </c>
      <c r="K32" t="s">
        <v>429</v>
      </c>
    </row>
    <row r="33" spans="1:9" ht="20.100000000000001" customHeight="1">
      <c r="A33" t="s">
        <v>430</v>
      </c>
    </row>
    <row r="34" spans="1:9" ht="20.100000000000001" customHeight="1" thickBot="1">
      <c r="A34" s="138" t="s">
        <v>431</v>
      </c>
      <c r="B34" s="104" t="s">
        <v>432</v>
      </c>
      <c r="C34" s="138" t="s">
        <v>433</v>
      </c>
      <c r="D34" s="104" t="s">
        <v>434</v>
      </c>
    </row>
    <row r="35" spans="1:9" ht="20.100000000000001" customHeight="1">
      <c r="A35" s="138"/>
      <c r="B35" s="3">
        <v>12</v>
      </c>
      <c r="C35" s="138"/>
      <c r="D35" s="3">
        <v>4</v>
      </c>
    </row>
    <row r="36" spans="1:9" ht="20.100000000000001" customHeight="1">
      <c r="A36" t="s">
        <v>435</v>
      </c>
    </row>
    <row r="37" spans="1:9" ht="20.100000000000001" customHeight="1">
      <c r="A37" t="s">
        <v>436</v>
      </c>
    </row>
    <row r="38" spans="1:9" ht="20.100000000000001" customHeight="1" thickBot="1">
      <c r="A38" s="138" t="s">
        <v>296</v>
      </c>
      <c r="B38" s="138" t="s">
        <v>437</v>
      </c>
      <c r="C38" s="138"/>
      <c r="D38" s="138" t="s">
        <v>424</v>
      </c>
      <c r="E38" s="295" t="s">
        <v>438</v>
      </c>
      <c r="F38" s="295"/>
    </row>
    <row r="39" spans="1:9" ht="20.100000000000001" customHeight="1">
      <c r="A39" s="138"/>
      <c r="B39" s="138"/>
      <c r="C39" s="138"/>
      <c r="D39" s="138"/>
      <c r="E39" s="138">
        <v>2</v>
      </c>
      <c r="F39" s="138"/>
    </row>
    <row r="40" spans="1:9" ht="20.100000000000001" customHeight="1" thickBot="1">
      <c r="A40" s="125" t="s">
        <v>439</v>
      </c>
      <c r="B40" s="295" t="s">
        <v>440</v>
      </c>
      <c r="C40" s="295"/>
      <c r="E40" t="s">
        <v>441</v>
      </c>
    </row>
    <row r="41" spans="1:9" ht="20.100000000000001" customHeight="1">
      <c r="A41" s="125"/>
      <c r="B41" s="138" t="s">
        <v>442</v>
      </c>
      <c r="C41" s="138"/>
      <c r="E41" t="s">
        <v>443</v>
      </c>
    </row>
    <row r="42" spans="1:9" ht="20.100000000000001" customHeight="1" thickBot="1">
      <c r="A42" s="125" t="s">
        <v>424</v>
      </c>
      <c r="B42" s="295" t="s">
        <v>440</v>
      </c>
      <c r="C42" s="295"/>
      <c r="D42" s="138" t="s">
        <v>424</v>
      </c>
      <c r="E42" s="138" t="s">
        <v>444</v>
      </c>
      <c r="F42" s="138" t="s">
        <v>424</v>
      </c>
      <c r="G42" s="104" t="s">
        <v>445</v>
      </c>
    </row>
    <row r="43" spans="1:9" ht="20.100000000000001" customHeight="1">
      <c r="A43" s="125"/>
      <c r="B43" s="138" t="s">
        <v>446</v>
      </c>
      <c r="C43" s="138"/>
      <c r="D43" s="138"/>
      <c r="E43" s="138"/>
      <c r="F43" s="138"/>
      <c r="G43" s="3">
        <v>5</v>
      </c>
    </row>
    <row r="44" spans="1:9" ht="20.100000000000001" customHeight="1"/>
    <row r="45" spans="1:9" ht="20.100000000000001" customHeight="1">
      <c r="A45" t="s">
        <v>447</v>
      </c>
    </row>
    <row r="46" spans="1:9" ht="20.100000000000001" customHeight="1">
      <c r="A46" t="s">
        <v>448</v>
      </c>
    </row>
    <row r="47" spans="1:9" ht="20.100000000000001" customHeight="1" thickBot="1">
      <c r="A47" s="125" t="s">
        <v>439</v>
      </c>
      <c r="B47" s="104" t="s">
        <v>445</v>
      </c>
      <c r="D47" s="125" t="s">
        <v>449</v>
      </c>
      <c r="E47" s="104" t="s">
        <v>445</v>
      </c>
      <c r="H47" s="125" t="s">
        <v>450</v>
      </c>
      <c r="I47" s="138" t="s">
        <v>451</v>
      </c>
    </row>
    <row r="48" spans="1:9" ht="20.100000000000001" customHeight="1">
      <c r="A48" s="125"/>
      <c r="B48" s="3">
        <v>5</v>
      </c>
      <c r="D48" s="125"/>
      <c r="E48" s="3">
        <v>4</v>
      </c>
      <c r="H48" s="125"/>
      <c r="I48" s="138"/>
    </row>
  </sheetData>
  <mergeCells count="63">
    <mergeCell ref="A3:A4"/>
    <mergeCell ref="C26:C27"/>
    <mergeCell ref="D24:E25"/>
    <mergeCell ref="C19:C20"/>
    <mergeCell ref="D19:E20"/>
    <mergeCell ref="C24:C25"/>
    <mergeCell ref="C3:C4"/>
    <mergeCell ref="C16:C17"/>
    <mergeCell ref="C21:C22"/>
    <mergeCell ref="A12:C12"/>
    <mergeCell ref="D10:D11"/>
    <mergeCell ref="E10:E11"/>
    <mergeCell ref="A16:A17"/>
    <mergeCell ref="B16:B17"/>
    <mergeCell ref="A10:A11"/>
    <mergeCell ref="A7:A8"/>
    <mergeCell ref="I3:J3"/>
    <mergeCell ref="I4:J4"/>
    <mergeCell ref="B5:C5"/>
    <mergeCell ref="I5:J5"/>
    <mergeCell ref="E7:E8"/>
    <mergeCell ref="F10:G11"/>
    <mergeCell ref="F7:G8"/>
    <mergeCell ref="B7:C7"/>
    <mergeCell ref="C14:C15"/>
    <mergeCell ref="D14:E15"/>
    <mergeCell ref="D7:D8"/>
    <mergeCell ref="B8:C8"/>
    <mergeCell ref="B24:B25"/>
    <mergeCell ref="A19:A20"/>
    <mergeCell ref="A21:A22"/>
    <mergeCell ref="B21:B22"/>
    <mergeCell ref="A24:A25"/>
    <mergeCell ref="A14:A15"/>
    <mergeCell ref="H47:H48"/>
    <mergeCell ref="I47:I48"/>
    <mergeCell ref="E42:E43"/>
    <mergeCell ref="F42:F43"/>
    <mergeCell ref="A26:A27"/>
    <mergeCell ref="B26:B27"/>
    <mergeCell ref="D47:D48"/>
    <mergeCell ref="A42:A43"/>
    <mergeCell ref="B42:C42"/>
    <mergeCell ref="B43:C43"/>
    <mergeCell ref="D42:D43"/>
    <mergeCell ref="A40:A41"/>
    <mergeCell ref="B40:C40"/>
    <mergeCell ref="B41:C41"/>
    <mergeCell ref="A47:A48"/>
    <mergeCell ref="G31:H31"/>
    <mergeCell ref="G32:H32"/>
    <mergeCell ref="F31:F32"/>
    <mergeCell ref="A34:A35"/>
    <mergeCell ref="C34:C35"/>
    <mergeCell ref="A38:A39"/>
    <mergeCell ref="B38:C39"/>
    <mergeCell ref="A31:A32"/>
    <mergeCell ref="C31:C32"/>
    <mergeCell ref="D31:E31"/>
    <mergeCell ref="D32:E32"/>
    <mergeCell ref="E38:F38"/>
    <mergeCell ref="E39:F39"/>
    <mergeCell ref="D38:D39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基本構想(1)</vt:lpstr>
      <vt:lpstr>Vﾌﾟｰﾘ(2)</vt:lpstr>
      <vt:lpstr>軸(３)</vt:lpstr>
      <vt:lpstr>歯車（４）</vt:lpstr>
      <vt:lpstr>軸の設計</vt:lpstr>
      <vt:lpstr>軸受選定</vt:lpstr>
      <vt:lpstr>軸受荷重</vt:lpstr>
      <vt:lpstr>キー</vt:lpstr>
      <vt:lpstr>'軸(３)'!Print_Area</vt:lpstr>
    </vt:vector>
  </TitlesOfParts>
  <Company>雇用能力開発機構　山口センター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山口職業能力開発促進センター</dc:creator>
  <cp:lastModifiedBy>ndes</cp:lastModifiedBy>
  <cp:lastPrinted>2009-05-25T02:40:23Z</cp:lastPrinted>
  <dcterms:created xsi:type="dcterms:W3CDTF">2007-05-10T23:44:22Z</dcterms:created>
  <dcterms:modified xsi:type="dcterms:W3CDTF">2009-06-30T06:18:27Z</dcterms:modified>
</cp:coreProperties>
</file>